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istrator/Desktop/"/>
    </mc:Choice>
  </mc:AlternateContent>
  <xr:revisionPtr revIDLastSave="0" documentId="8_{19C06E91-4D84-784A-AEB6-F4E691308AFF}" xr6:coauthVersionLast="47" xr6:coauthVersionMax="47" xr10:uidLastSave="{00000000-0000-0000-0000-000000000000}"/>
  <bookViews>
    <workbookView xWindow="0" yWindow="740" windowWidth="29400" windowHeight="17040" firstSheet="1" activeTab="1" xr2:uid="{4EA488F7-BADC-E44E-82F8-11E5DA0A1490}"/>
  </bookViews>
  <sheets>
    <sheet name="Summary" sheetId="3" r:id="rId1"/>
    <sheet name="Revenue Build" sheetId="2" r:id="rId2"/>
    <sheet name="Revenue Build Toggles" sheetId="11" r:id="rId3"/>
    <sheet name="Income Statement" sheetId="1" r:id="rId4"/>
    <sheet name="Balance Sheet" sheetId="5" r:id="rId5"/>
    <sheet name="Cash Flow Statement" sheetId="10" r:id="rId6"/>
    <sheet name="DCF" sheetId="7" r:id="rId7"/>
    <sheet name="DCF Assumptions" sheetId="8" r:id="rId8"/>
    <sheet name="Public Comps" sheetId="6" r:id="rId9"/>
    <sheet name="Graphs for the Deck" sheetId="9" r:id="rId10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4" i="2" l="1"/>
  <c r="T35" i="2"/>
  <c r="M22" i="7"/>
  <c r="M38" i="7" s="1"/>
  <c r="D17" i="3"/>
  <c r="D21" i="7"/>
  <c r="D14" i="3"/>
  <c r="G17" i="8"/>
  <c r="M43" i="7"/>
  <c r="M40" i="7"/>
  <c r="M27" i="7"/>
  <c r="M24" i="7"/>
  <c r="V10" i="7"/>
  <c r="Q9" i="7"/>
  <c r="C32" i="6"/>
  <c r="M10" i="7"/>
  <c r="D32" i="6"/>
  <c r="D29" i="6"/>
  <c r="D24" i="7"/>
  <c r="P100" i="5"/>
  <c r="P101" i="5"/>
  <c r="P56" i="5"/>
  <c r="Q56" i="5" s="1"/>
  <c r="R56" i="5" s="1"/>
  <c r="S56" i="5" s="1"/>
  <c r="P119" i="5"/>
  <c r="P113" i="5"/>
  <c r="T94" i="5"/>
  <c r="Y8" i="10"/>
  <c r="T8" i="10"/>
  <c r="P45" i="5"/>
  <c r="Q45" i="5" s="1"/>
  <c r="R45" i="5" s="1"/>
  <c r="S45" i="5" s="1"/>
  <c r="P44" i="5"/>
  <c r="Q44" i="5" s="1"/>
  <c r="R44" i="5" s="1"/>
  <c r="S44" i="5" s="1"/>
  <c r="P43" i="5"/>
  <c r="Q43" i="5" s="1"/>
  <c r="R43" i="5" s="1"/>
  <c r="S43" i="5" s="1"/>
  <c r="P42" i="5"/>
  <c r="Q42" i="5" s="1"/>
  <c r="R42" i="5" s="1"/>
  <c r="S42" i="5" s="1"/>
  <c r="P41" i="5"/>
  <c r="Q41" i="5" s="1"/>
  <c r="R41" i="5" s="1"/>
  <c r="S41" i="5" s="1"/>
  <c r="P40" i="5"/>
  <c r="Q40" i="5" s="1"/>
  <c r="P34" i="5"/>
  <c r="Q34" i="5" s="1"/>
  <c r="R34" i="5" s="1"/>
  <c r="S34" i="5" s="1"/>
  <c r="P33" i="5"/>
  <c r="Q33" i="5" s="1"/>
  <c r="R33" i="5" s="1"/>
  <c r="S33" i="5" s="1"/>
  <c r="P30" i="5"/>
  <c r="P24" i="5"/>
  <c r="Q24" i="5" s="1"/>
  <c r="R24" i="5" s="1"/>
  <c r="S24" i="5" s="1"/>
  <c r="P23" i="5"/>
  <c r="Q23" i="5" s="1"/>
  <c r="R23" i="5" s="1"/>
  <c r="S23" i="5" s="1"/>
  <c r="P22" i="5"/>
  <c r="Q22" i="5" s="1"/>
  <c r="R22" i="5" s="1"/>
  <c r="S22" i="5" s="1"/>
  <c r="P20" i="5"/>
  <c r="Q20" i="5" s="1"/>
  <c r="R20" i="5" s="1"/>
  <c r="S20" i="5" s="1"/>
  <c r="P19" i="5"/>
  <c r="Q19" i="5" s="1"/>
  <c r="P17" i="5"/>
  <c r="Q17" i="5" s="1"/>
  <c r="R17" i="5" s="1"/>
  <c r="S17" i="5" s="1"/>
  <c r="P12" i="5"/>
  <c r="Q12" i="5" s="1"/>
  <c r="R12" i="5" s="1"/>
  <c r="S12" i="5" s="1"/>
  <c r="P9" i="5"/>
  <c r="Q9" i="5" s="1"/>
  <c r="P94" i="5"/>
  <c r="Y73" i="10"/>
  <c r="Y72" i="10"/>
  <c r="Y70" i="10"/>
  <c r="Y69" i="10"/>
  <c r="Y68" i="10"/>
  <c r="Y67" i="10"/>
  <c r="Y65" i="10"/>
  <c r="Y64" i="10"/>
  <c r="Y63" i="10"/>
  <c r="Y62" i="10"/>
  <c r="Y61" i="10"/>
  <c r="Y60" i="10"/>
  <c r="Y58" i="10"/>
  <c r="Y57" i="10"/>
  <c r="Y56" i="10"/>
  <c r="Y54" i="10"/>
  <c r="Y53" i="10"/>
  <c r="Y52" i="10"/>
  <c r="Y51" i="10"/>
  <c r="Y47" i="10"/>
  <c r="Y46" i="10"/>
  <c r="Y45" i="10"/>
  <c r="Y44" i="10"/>
  <c r="Y43" i="10"/>
  <c r="Y31" i="10"/>
  <c r="Y30" i="10"/>
  <c r="Y22" i="10"/>
  <c r="Y21" i="10"/>
  <c r="Y19" i="10"/>
  <c r="Y18" i="10"/>
  <c r="Y17" i="10"/>
  <c r="Y10" i="10"/>
  <c r="Y9" i="10"/>
  <c r="X74" i="10"/>
  <c r="W74" i="10"/>
  <c r="V74" i="10"/>
  <c r="X71" i="10"/>
  <c r="X121" i="5" s="1"/>
  <c r="W71" i="10"/>
  <c r="W121" i="5" s="1"/>
  <c r="V71" i="10"/>
  <c r="V121" i="5" s="1"/>
  <c r="X59" i="10"/>
  <c r="X100" i="5" s="1"/>
  <c r="W59" i="10"/>
  <c r="W100" i="5" s="1"/>
  <c r="V59" i="10"/>
  <c r="V100" i="5" s="1"/>
  <c r="X55" i="10"/>
  <c r="W55" i="10"/>
  <c r="V55" i="10"/>
  <c r="X48" i="10"/>
  <c r="W48" i="10"/>
  <c r="V48" i="10"/>
  <c r="X11" i="10"/>
  <c r="W11" i="10"/>
  <c r="V11" i="10"/>
  <c r="U74" i="10"/>
  <c r="U71" i="10"/>
  <c r="U121" i="5" s="1"/>
  <c r="U59" i="10"/>
  <c r="U100" i="5" s="1"/>
  <c r="U55" i="10"/>
  <c r="U48" i="10"/>
  <c r="U11" i="10"/>
  <c r="T73" i="10"/>
  <c r="T72" i="10"/>
  <c r="T70" i="10"/>
  <c r="T69" i="10"/>
  <c r="T68" i="10"/>
  <c r="T67" i="10"/>
  <c r="T65" i="10"/>
  <c r="T64" i="10"/>
  <c r="T63" i="10"/>
  <c r="T62" i="10"/>
  <c r="T61" i="10"/>
  <c r="T60" i="10"/>
  <c r="T58" i="10"/>
  <c r="T57" i="10"/>
  <c r="T56" i="10"/>
  <c r="T54" i="10"/>
  <c r="T53" i="10"/>
  <c r="T52" i="10"/>
  <c r="T51" i="10"/>
  <c r="T47" i="10"/>
  <c r="T46" i="10"/>
  <c r="T45" i="10"/>
  <c r="T44" i="10"/>
  <c r="T43" i="10"/>
  <c r="T31" i="10"/>
  <c r="T30" i="10"/>
  <c r="T22" i="10"/>
  <c r="T21" i="10"/>
  <c r="T19" i="10"/>
  <c r="T18" i="10"/>
  <c r="T17" i="10"/>
  <c r="T10" i="10"/>
  <c r="T9" i="10"/>
  <c r="S74" i="10"/>
  <c r="R74" i="10"/>
  <c r="Q74" i="10"/>
  <c r="S71" i="10"/>
  <c r="S121" i="5" s="1"/>
  <c r="R71" i="10"/>
  <c r="R121" i="5" s="1"/>
  <c r="Q71" i="10"/>
  <c r="Q121" i="5" s="1"/>
  <c r="S59" i="10"/>
  <c r="S100" i="5" s="1"/>
  <c r="R59" i="10"/>
  <c r="R100" i="5" s="1"/>
  <c r="Q59" i="10"/>
  <c r="Q100" i="5" s="1"/>
  <c r="S55" i="10"/>
  <c r="R55" i="10"/>
  <c r="Q55" i="10"/>
  <c r="S48" i="10"/>
  <c r="R48" i="10"/>
  <c r="Q48" i="10"/>
  <c r="Q41" i="10"/>
  <c r="Q40" i="10"/>
  <c r="Q39" i="10"/>
  <c r="Q37" i="10"/>
  <c r="Q20" i="10"/>
  <c r="Q23" i="10" s="1"/>
  <c r="Q16" i="10"/>
  <c r="Q14" i="10"/>
  <c r="Q13" i="10"/>
  <c r="S11" i="10"/>
  <c r="R11" i="10"/>
  <c r="Q11" i="10"/>
  <c r="U120" i="5"/>
  <c r="P74" i="10"/>
  <c r="P71" i="10"/>
  <c r="P121" i="5" s="1"/>
  <c r="P59" i="10"/>
  <c r="P55" i="10"/>
  <c r="P48" i="10"/>
  <c r="P41" i="10"/>
  <c r="P40" i="10"/>
  <c r="R40" i="10" s="1"/>
  <c r="P39" i="10"/>
  <c r="P37" i="10"/>
  <c r="R37" i="10" s="1"/>
  <c r="P20" i="10"/>
  <c r="P16" i="10"/>
  <c r="P14" i="10"/>
  <c r="P13" i="10"/>
  <c r="P11" i="10"/>
  <c r="P120" i="5"/>
  <c r="Y115" i="5"/>
  <c r="T115" i="5"/>
  <c r="R120" i="5"/>
  <c r="Q120" i="5"/>
  <c r="O115" i="5"/>
  <c r="N120" i="5"/>
  <c r="M120" i="5"/>
  <c r="L120" i="5"/>
  <c r="K120" i="5"/>
  <c r="J115" i="5"/>
  <c r="I120" i="5"/>
  <c r="H120" i="5"/>
  <c r="G120" i="5"/>
  <c r="F120" i="5"/>
  <c r="E115" i="5"/>
  <c r="D120" i="5"/>
  <c r="C120" i="5"/>
  <c r="O102" i="5"/>
  <c r="O94" i="5"/>
  <c r="O92" i="5"/>
  <c r="O91" i="5"/>
  <c r="N94" i="5"/>
  <c r="N92" i="5"/>
  <c r="N91" i="5"/>
  <c r="M94" i="5"/>
  <c r="M92" i="5"/>
  <c r="M91" i="5"/>
  <c r="L94" i="5"/>
  <c r="L92" i="5"/>
  <c r="L91" i="5"/>
  <c r="K94" i="5"/>
  <c r="K92" i="5"/>
  <c r="K91" i="5"/>
  <c r="J102" i="5"/>
  <c r="J94" i="5"/>
  <c r="J92" i="5"/>
  <c r="J91" i="5"/>
  <c r="I94" i="5"/>
  <c r="I92" i="5"/>
  <c r="I91" i="5"/>
  <c r="H94" i="5"/>
  <c r="H92" i="5"/>
  <c r="H91" i="5"/>
  <c r="G94" i="5"/>
  <c r="G92" i="5"/>
  <c r="G91" i="5"/>
  <c r="F94" i="5"/>
  <c r="F92" i="5"/>
  <c r="F91" i="5"/>
  <c r="E102" i="5"/>
  <c r="E92" i="5"/>
  <c r="E91" i="5"/>
  <c r="D94" i="5"/>
  <c r="D92" i="5"/>
  <c r="D91" i="5"/>
  <c r="C99" i="5"/>
  <c r="E99" i="5" s="1"/>
  <c r="C92" i="5"/>
  <c r="C91" i="5"/>
  <c r="O12" i="10"/>
  <c r="O65" i="5" s="1"/>
  <c r="V87" i="5"/>
  <c r="W87" i="5" s="1"/>
  <c r="X87" i="5" s="1"/>
  <c r="D65" i="5"/>
  <c r="E65" i="5"/>
  <c r="F65" i="5"/>
  <c r="G65" i="5"/>
  <c r="H65" i="5"/>
  <c r="I65" i="5"/>
  <c r="J65" i="5"/>
  <c r="K65" i="5"/>
  <c r="L65" i="5"/>
  <c r="M65" i="5"/>
  <c r="N65" i="5"/>
  <c r="D64" i="5"/>
  <c r="E64" i="5"/>
  <c r="F64" i="5"/>
  <c r="G64" i="5"/>
  <c r="H64" i="5"/>
  <c r="I64" i="5"/>
  <c r="J64" i="5"/>
  <c r="K64" i="5"/>
  <c r="L64" i="5"/>
  <c r="M64" i="5"/>
  <c r="N64" i="5"/>
  <c r="O64" i="5"/>
  <c r="C67" i="5"/>
  <c r="D63" i="5" s="1"/>
  <c r="C23" i="6"/>
  <c r="D22" i="6" s="1"/>
  <c r="Y33" i="2"/>
  <c r="T33" i="2"/>
  <c r="Y32" i="2"/>
  <c r="T32" i="2"/>
  <c r="Y27" i="2"/>
  <c r="T27" i="2"/>
  <c r="U50" i="1"/>
  <c r="Y50" i="1"/>
  <c r="X50" i="1"/>
  <c r="W50" i="1"/>
  <c r="V50" i="1"/>
  <c r="T50" i="1"/>
  <c r="S50" i="1"/>
  <c r="R50" i="1"/>
  <c r="Q50" i="1"/>
  <c r="P50" i="1"/>
  <c r="Y47" i="1"/>
  <c r="X47" i="1"/>
  <c r="W47" i="1"/>
  <c r="V47" i="1"/>
  <c r="U47" i="1"/>
  <c r="T47" i="1"/>
  <c r="S47" i="1"/>
  <c r="R47" i="1"/>
  <c r="Q47" i="1"/>
  <c r="P47" i="1"/>
  <c r="D77" i="10"/>
  <c r="E77" i="10"/>
  <c r="F77" i="10"/>
  <c r="G77" i="10"/>
  <c r="H77" i="10"/>
  <c r="I77" i="10"/>
  <c r="J77" i="10"/>
  <c r="K77" i="10"/>
  <c r="L77" i="10"/>
  <c r="M77" i="10"/>
  <c r="N77" i="10"/>
  <c r="O77" i="10"/>
  <c r="C77" i="10"/>
  <c r="C77" i="5"/>
  <c r="D55" i="10"/>
  <c r="E55" i="10"/>
  <c r="F55" i="10"/>
  <c r="G55" i="10"/>
  <c r="H55" i="10"/>
  <c r="I55" i="10"/>
  <c r="J55" i="10"/>
  <c r="K55" i="10"/>
  <c r="L55" i="10"/>
  <c r="M55" i="10"/>
  <c r="N55" i="10"/>
  <c r="O55" i="10"/>
  <c r="C55" i="10"/>
  <c r="D59" i="10"/>
  <c r="D100" i="5" s="1"/>
  <c r="E59" i="10"/>
  <c r="F59" i="10"/>
  <c r="F100" i="5" s="1"/>
  <c r="G59" i="10"/>
  <c r="G100" i="5" s="1"/>
  <c r="H59" i="10"/>
  <c r="H100" i="5" s="1"/>
  <c r="I59" i="10"/>
  <c r="I100" i="5" s="1"/>
  <c r="J59" i="10"/>
  <c r="K59" i="10"/>
  <c r="K100" i="5" s="1"/>
  <c r="L59" i="10"/>
  <c r="L100" i="5" s="1"/>
  <c r="M59" i="10"/>
  <c r="M100" i="5" s="1"/>
  <c r="N59" i="10"/>
  <c r="N100" i="5" s="1"/>
  <c r="O59" i="10"/>
  <c r="C59" i="10"/>
  <c r="C100" i="5" s="1"/>
  <c r="C66" i="10"/>
  <c r="C101" i="5" s="1"/>
  <c r="D66" i="10"/>
  <c r="D101" i="5" s="1"/>
  <c r="E66" i="10"/>
  <c r="F66" i="10"/>
  <c r="F101" i="5" s="1"/>
  <c r="G66" i="10"/>
  <c r="G101" i="5" s="1"/>
  <c r="H66" i="10"/>
  <c r="H101" i="5" s="1"/>
  <c r="I66" i="10"/>
  <c r="I101" i="5" s="1"/>
  <c r="J66" i="10"/>
  <c r="K66" i="10"/>
  <c r="K101" i="5" s="1"/>
  <c r="L66" i="10"/>
  <c r="L101" i="5" s="1"/>
  <c r="M66" i="10"/>
  <c r="M101" i="5" s="1"/>
  <c r="N66" i="10"/>
  <c r="N101" i="5" s="1"/>
  <c r="O66" i="10"/>
  <c r="D71" i="10"/>
  <c r="D121" i="5" s="1"/>
  <c r="E71" i="10"/>
  <c r="F71" i="10"/>
  <c r="F121" i="5" s="1"/>
  <c r="G71" i="10"/>
  <c r="G121" i="5" s="1"/>
  <c r="H71" i="10"/>
  <c r="H121" i="5" s="1"/>
  <c r="I71" i="10"/>
  <c r="I121" i="5" s="1"/>
  <c r="J71" i="10"/>
  <c r="K71" i="10"/>
  <c r="K121" i="5" s="1"/>
  <c r="L71" i="10"/>
  <c r="L121" i="5" s="1"/>
  <c r="M71" i="10"/>
  <c r="M121" i="5" s="1"/>
  <c r="N71" i="10"/>
  <c r="N121" i="5" s="1"/>
  <c r="O71" i="10"/>
  <c r="C71" i="10"/>
  <c r="C121" i="5" s="1"/>
  <c r="D74" i="10"/>
  <c r="E74" i="10"/>
  <c r="F74" i="10"/>
  <c r="G74" i="10"/>
  <c r="H74" i="10"/>
  <c r="I74" i="10"/>
  <c r="J74" i="10"/>
  <c r="K74" i="10"/>
  <c r="L74" i="10"/>
  <c r="M74" i="10"/>
  <c r="N74" i="10"/>
  <c r="O74" i="10"/>
  <c r="C74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C48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C42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D28" i="7" s="1"/>
  <c r="C33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C23" i="10"/>
  <c r="C11" i="10"/>
  <c r="V31" i="2"/>
  <c r="W31" i="2"/>
  <c r="X31" i="2"/>
  <c r="U31" i="2"/>
  <c r="V28" i="2"/>
  <c r="W28" i="2"/>
  <c r="X28" i="2"/>
  <c r="U28" i="2"/>
  <c r="D55" i="1"/>
  <c r="E55" i="1"/>
  <c r="F55" i="1"/>
  <c r="G55" i="1"/>
  <c r="H55" i="1"/>
  <c r="I55" i="1"/>
  <c r="J55" i="1"/>
  <c r="K55" i="1"/>
  <c r="L55" i="1"/>
  <c r="M55" i="1"/>
  <c r="N55" i="1"/>
  <c r="O55" i="1"/>
  <c r="C55" i="1"/>
  <c r="Q10" i="7" l="1"/>
  <c r="R9" i="7"/>
  <c r="D26" i="7"/>
  <c r="V101" i="5"/>
  <c r="U56" i="5"/>
  <c r="V56" i="5" s="1"/>
  <c r="W56" i="5" s="1"/>
  <c r="X56" i="5" s="1"/>
  <c r="Y56" i="5" s="1"/>
  <c r="T56" i="5"/>
  <c r="W101" i="5"/>
  <c r="X101" i="5"/>
  <c r="Q101" i="5"/>
  <c r="R101" i="5"/>
  <c r="S101" i="5"/>
  <c r="U101" i="5"/>
  <c r="Y74" i="10"/>
  <c r="T100" i="5"/>
  <c r="S20" i="10"/>
  <c r="S23" i="10" s="1"/>
  <c r="I93" i="5"/>
  <c r="N93" i="5"/>
  <c r="Y100" i="5"/>
  <c r="F93" i="5"/>
  <c r="S13" i="10"/>
  <c r="T71" i="10"/>
  <c r="R13" i="10"/>
  <c r="P23" i="10"/>
  <c r="T74" i="10"/>
  <c r="T11" i="10"/>
  <c r="G93" i="5"/>
  <c r="L93" i="5"/>
  <c r="P42" i="10"/>
  <c r="Y48" i="10"/>
  <c r="T59" i="10"/>
  <c r="Y28" i="2"/>
  <c r="C103" i="5"/>
  <c r="D99" i="5" s="1"/>
  <c r="D103" i="5" s="1"/>
  <c r="J100" i="5"/>
  <c r="Y59" i="10"/>
  <c r="S39" i="10"/>
  <c r="K93" i="5"/>
  <c r="R20" i="10"/>
  <c r="R23" i="10" s="1"/>
  <c r="T48" i="10"/>
  <c r="T55" i="10"/>
  <c r="Y55" i="10"/>
  <c r="Y71" i="10"/>
  <c r="Y11" i="10"/>
  <c r="E101" i="5"/>
  <c r="O121" i="5"/>
  <c r="J101" i="5"/>
  <c r="E93" i="5"/>
  <c r="M93" i="5"/>
  <c r="R14" i="10"/>
  <c r="S37" i="10"/>
  <c r="R41" i="10"/>
  <c r="O93" i="5"/>
  <c r="E120" i="5"/>
  <c r="S14" i="10"/>
  <c r="S41" i="10"/>
  <c r="O120" i="5"/>
  <c r="R16" i="10"/>
  <c r="R39" i="10"/>
  <c r="S16" i="10"/>
  <c r="S40" i="10"/>
  <c r="U40" i="10" s="1"/>
  <c r="W120" i="5"/>
  <c r="E100" i="5"/>
  <c r="Y121" i="5"/>
  <c r="J93" i="5"/>
  <c r="O100" i="5"/>
  <c r="D93" i="5"/>
  <c r="O101" i="5"/>
  <c r="C93" i="5"/>
  <c r="H93" i="5"/>
  <c r="E121" i="5"/>
  <c r="J121" i="5"/>
  <c r="J120" i="5"/>
  <c r="T43" i="5"/>
  <c r="U43" i="5"/>
  <c r="V43" i="5" s="1"/>
  <c r="W43" i="5" s="1"/>
  <c r="X43" i="5" s="1"/>
  <c r="Y43" i="5" s="1"/>
  <c r="U20" i="5"/>
  <c r="V20" i="5" s="1"/>
  <c r="W20" i="5" s="1"/>
  <c r="X20" i="5" s="1"/>
  <c r="Y20" i="5" s="1"/>
  <c r="T20" i="5"/>
  <c r="R40" i="5"/>
  <c r="U22" i="5"/>
  <c r="V22" i="5" s="1"/>
  <c r="W22" i="5" s="1"/>
  <c r="X22" i="5" s="1"/>
  <c r="Y22" i="5" s="1"/>
  <c r="T22" i="5"/>
  <c r="U41" i="5"/>
  <c r="V41" i="5" s="1"/>
  <c r="W41" i="5" s="1"/>
  <c r="X41" i="5" s="1"/>
  <c r="Y41" i="5" s="1"/>
  <c r="T41" i="5"/>
  <c r="T23" i="5"/>
  <c r="U23" i="5"/>
  <c r="V23" i="5" s="1"/>
  <c r="W23" i="5" s="1"/>
  <c r="X23" i="5" s="1"/>
  <c r="Y23" i="5" s="1"/>
  <c r="T42" i="5"/>
  <c r="U42" i="5"/>
  <c r="V42" i="5" s="1"/>
  <c r="W42" i="5" s="1"/>
  <c r="X42" i="5" s="1"/>
  <c r="Y42" i="5" s="1"/>
  <c r="R9" i="5"/>
  <c r="T12" i="5"/>
  <c r="U12" i="5"/>
  <c r="V12" i="5" s="1"/>
  <c r="W12" i="5" s="1"/>
  <c r="X12" i="5" s="1"/>
  <c r="Y12" i="5" s="1"/>
  <c r="T45" i="5"/>
  <c r="U45" i="5"/>
  <c r="V45" i="5" s="1"/>
  <c r="W45" i="5" s="1"/>
  <c r="X45" i="5" s="1"/>
  <c r="Y45" i="5" s="1"/>
  <c r="T24" i="5"/>
  <c r="U24" i="5"/>
  <c r="V24" i="5" s="1"/>
  <c r="W24" i="5" s="1"/>
  <c r="X24" i="5" s="1"/>
  <c r="Y24" i="5" s="1"/>
  <c r="T17" i="5"/>
  <c r="U17" i="5"/>
  <c r="V17" i="5" s="1"/>
  <c r="W17" i="5" s="1"/>
  <c r="X17" i="5" s="1"/>
  <c r="Y17" i="5" s="1"/>
  <c r="T33" i="5"/>
  <c r="U33" i="5"/>
  <c r="V33" i="5" s="1"/>
  <c r="W33" i="5" s="1"/>
  <c r="X33" i="5" s="1"/>
  <c r="Y33" i="5" s="1"/>
  <c r="T44" i="5"/>
  <c r="U44" i="5"/>
  <c r="V44" i="5" s="1"/>
  <c r="W44" i="5" s="1"/>
  <c r="X44" i="5" s="1"/>
  <c r="Y44" i="5" s="1"/>
  <c r="R19" i="5"/>
  <c r="T34" i="5"/>
  <c r="U34" i="5"/>
  <c r="V34" i="5" s="1"/>
  <c r="W34" i="5" s="1"/>
  <c r="X34" i="5" s="1"/>
  <c r="Y34" i="5" s="1"/>
  <c r="Q30" i="5"/>
  <c r="X120" i="5"/>
  <c r="V120" i="5"/>
  <c r="T121" i="5"/>
  <c r="S120" i="5"/>
  <c r="T120" i="5" s="1"/>
  <c r="Q42" i="10"/>
  <c r="C119" i="5"/>
  <c r="D67" i="5"/>
  <c r="E67" i="5" s="1"/>
  <c r="J63" i="5" s="1"/>
  <c r="J67" i="5" s="1"/>
  <c r="O63" i="5" s="1"/>
  <c r="O67" i="5" s="1"/>
  <c r="P63" i="5" s="1"/>
  <c r="Y31" i="2"/>
  <c r="D75" i="5"/>
  <c r="E75" i="5"/>
  <c r="F75" i="5"/>
  <c r="G75" i="5"/>
  <c r="H75" i="5"/>
  <c r="I75" i="5"/>
  <c r="J75" i="5"/>
  <c r="K75" i="5"/>
  <c r="L75" i="5"/>
  <c r="M75" i="5"/>
  <c r="N75" i="5"/>
  <c r="O75" i="5"/>
  <c r="C75" i="5"/>
  <c r="D81" i="5"/>
  <c r="E81" i="5"/>
  <c r="G81" i="5"/>
  <c r="H81" i="5"/>
  <c r="I81" i="5"/>
  <c r="J81" i="5"/>
  <c r="K81" i="5"/>
  <c r="M81" i="5"/>
  <c r="N81" i="5"/>
  <c r="O81" i="5"/>
  <c r="C81" i="5"/>
  <c r="D80" i="5"/>
  <c r="E80" i="5"/>
  <c r="G80" i="5"/>
  <c r="H80" i="5"/>
  <c r="I80" i="5"/>
  <c r="J80" i="5"/>
  <c r="K80" i="5"/>
  <c r="L80" i="5"/>
  <c r="M80" i="5"/>
  <c r="N80" i="5"/>
  <c r="O80" i="5"/>
  <c r="C80" i="5"/>
  <c r="D79" i="5"/>
  <c r="E79" i="5"/>
  <c r="F79" i="5"/>
  <c r="G79" i="5"/>
  <c r="H79" i="5"/>
  <c r="I79" i="5"/>
  <c r="J79" i="5"/>
  <c r="K79" i="5"/>
  <c r="L79" i="5"/>
  <c r="M79" i="5"/>
  <c r="N79" i="5"/>
  <c r="O79" i="5"/>
  <c r="C79" i="5"/>
  <c r="D78" i="5"/>
  <c r="E78" i="5"/>
  <c r="F78" i="5"/>
  <c r="G78" i="5"/>
  <c r="H78" i="5"/>
  <c r="I78" i="5"/>
  <c r="J78" i="5"/>
  <c r="K78" i="5"/>
  <c r="L78" i="5"/>
  <c r="M78" i="5"/>
  <c r="N78" i="5"/>
  <c r="O78" i="5"/>
  <c r="C78" i="5"/>
  <c r="D77" i="5"/>
  <c r="E77" i="5"/>
  <c r="F77" i="5"/>
  <c r="G77" i="5"/>
  <c r="H77" i="5"/>
  <c r="I77" i="5"/>
  <c r="J77" i="5"/>
  <c r="K77" i="5"/>
  <c r="L77" i="5"/>
  <c r="M77" i="5"/>
  <c r="N77" i="5"/>
  <c r="O77" i="5"/>
  <c r="Y39" i="1"/>
  <c r="T39" i="1"/>
  <c r="Y35" i="1"/>
  <c r="T35" i="1"/>
  <c r="Y31" i="1"/>
  <c r="T31" i="1"/>
  <c r="Y36" i="2"/>
  <c r="T36" i="2"/>
  <c r="X45" i="2"/>
  <c r="W45" i="2"/>
  <c r="V45" i="2"/>
  <c r="U45" i="2"/>
  <c r="S45" i="2"/>
  <c r="R45" i="2"/>
  <c r="Q45" i="2"/>
  <c r="P45" i="2"/>
  <c r="Y44" i="2"/>
  <c r="T45" i="2"/>
  <c r="V30" i="2"/>
  <c r="U22" i="2"/>
  <c r="S28" i="2"/>
  <c r="R28" i="2"/>
  <c r="Q28" i="2"/>
  <c r="P28" i="2"/>
  <c r="X30" i="2"/>
  <c r="W30" i="2"/>
  <c r="U30" i="2"/>
  <c r="W9" i="7" l="1"/>
  <c r="R10" i="7"/>
  <c r="T101" i="5"/>
  <c r="Y101" i="5"/>
  <c r="T39" i="10"/>
  <c r="V39" i="10" s="1"/>
  <c r="T41" i="10"/>
  <c r="V41" i="10" s="1"/>
  <c r="U13" i="10"/>
  <c r="T13" i="10"/>
  <c r="V13" i="10" s="1"/>
  <c r="L85" i="5"/>
  <c r="D85" i="5"/>
  <c r="U16" i="10"/>
  <c r="C107" i="5"/>
  <c r="C108" i="5" s="1"/>
  <c r="U20" i="10"/>
  <c r="T20" i="10"/>
  <c r="S42" i="10"/>
  <c r="U37" i="10"/>
  <c r="U14" i="10"/>
  <c r="T40" i="10"/>
  <c r="T37" i="10"/>
  <c r="V37" i="10" s="1"/>
  <c r="U41" i="10"/>
  <c r="T16" i="10"/>
  <c r="V16" i="10" s="1"/>
  <c r="U39" i="10"/>
  <c r="R42" i="10"/>
  <c r="T14" i="10"/>
  <c r="V14" i="10" s="1"/>
  <c r="Y120" i="5"/>
  <c r="R30" i="5"/>
  <c r="S9" i="5"/>
  <c r="S40" i="5"/>
  <c r="S19" i="5"/>
  <c r="E119" i="5"/>
  <c r="C122" i="5"/>
  <c r="D119" i="5" s="1"/>
  <c r="D122" i="5" s="1"/>
  <c r="F99" i="5"/>
  <c r="E103" i="5"/>
  <c r="E107" i="5" s="1"/>
  <c r="E108" i="5" s="1"/>
  <c r="D107" i="5"/>
  <c r="D108" i="5" s="1"/>
  <c r="M85" i="5"/>
  <c r="N85" i="5"/>
  <c r="F63" i="5"/>
  <c r="F67" i="5" s="1"/>
  <c r="G63" i="5" s="1"/>
  <c r="G67" i="5" s="1"/>
  <c r="H63" i="5" s="1"/>
  <c r="H67" i="5" s="1"/>
  <c r="I63" i="5" s="1"/>
  <c r="I67" i="5" s="1"/>
  <c r="K63" i="5" s="1"/>
  <c r="K67" i="5" s="1"/>
  <c r="L63" i="5" s="1"/>
  <c r="L67" i="5" s="1"/>
  <c r="M63" i="5" s="1"/>
  <c r="M67" i="5" s="1"/>
  <c r="N63" i="5" s="1"/>
  <c r="N67" i="5" s="1"/>
  <c r="I85" i="5"/>
  <c r="H85" i="5"/>
  <c r="T28" i="2"/>
  <c r="E85" i="5"/>
  <c r="O85" i="5"/>
  <c r="K85" i="5"/>
  <c r="Y45" i="2"/>
  <c r="G85" i="5"/>
  <c r="F85" i="5"/>
  <c r="C85" i="5"/>
  <c r="J85" i="5"/>
  <c r="Y40" i="2"/>
  <c r="T40" i="2"/>
  <c r="Y30" i="2"/>
  <c r="P85" i="5" l="1"/>
  <c r="W13" i="10"/>
  <c r="Y13" i="10" s="1"/>
  <c r="X13" i="10"/>
  <c r="X41" i="10"/>
  <c r="U42" i="10"/>
  <c r="W20" i="10"/>
  <c r="W23" i="10" s="1"/>
  <c r="W16" i="10"/>
  <c r="V20" i="10"/>
  <c r="V23" i="10" s="1"/>
  <c r="U23" i="10"/>
  <c r="T23" i="10"/>
  <c r="W14" i="10"/>
  <c r="X16" i="10"/>
  <c r="T42" i="10"/>
  <c r="W40" i="10"/>
  <c r="X14" i="10"/>
  <c r="X37" i="10"/>
  <c r="W37" i="10"/>
  <c r="Y37" i="10" s="1"/>
  <c r="V40" i="10"/>
  <c r="W41" i="10"/>
  <c r="Y41" i="10" s="1"/>
  <c r="W39" i="10"/>
  <c r="X39" i="10"/>
  <c r="U40" i="5"/>
  <c r="T40" i="5"/>
  <c r="T9" i="5"/>
  <c r="U9" i="5"/>
  <c r="T19" i="5"/>
  <c r="U19" i="5"/>
  <c r="S30" i="5"/>
  <c r="E122" i="5"/>
  <c r="F119" i="5"/>
  <c r="F103" i="5"/>
  <c r="G99" i="5" s="1"/>
  <c r="J99" i="5"/>
  <c r="X20" i="10" l="1"/>
  <c r="X23" i="10" s="1"/>
  <c r="F107" i="5"/>
  <c r="F108" i="5" s="1"/>
  <c r="Y39" i="10"/>
  <c r="Y16" i="10"/>
  <c r="W42" i="10"/>
  <c r="Y14" i="10"/>
  <c r="Q85" i="5"/>
  <c r="R85" i="5" s="1"/>
  <c r="S85" i="5" s="1"/>
  <c r="X40" i="10"/>
  <c r="X42" i="10" s="1"/>
  <c r="V42" i="10"/>
  <c r="V19" i="5"/>
  <c r="V9" i="5"/>
  <c r="T30" i="5"/>
  <c r="U30" i="5"/>
  <c r="V40" i="5"/>
  <c r="F122" i="5"/>
  <c r="G119" i="5" s="1"/>
  <c r="G122" i="5" s="1"/>
  <c r="H119" i="5" s="1"/>
  <c r="H122" i="5" s="1"/>
  <c r="I119" i="5" s="1"/>
  <c r="I122" i="5" s="1"/>
  <c r="J119" i="5"/>
  <c r="G103" i="5"/>
  <c r="H99" i="5" s="1"/>
  <c r="Y20" i="10" l="1"/>
  <c r="Y23" i="10" s="1"/>
  <c r="Y40" i="10"/>
  <c r="Y42" i="10" s="1"/>
  <c r="U85" i="5"/>
  <c r="V85" i="5" s="1"/>
  <c r="W85" i="5" s="1"/>
  <c r="X85" i="5" s="1"/>
  <c r="W9" i="5"/>
  <c r="V30" i="5"/>
  <c r="W40" i="5"/>
  <c r="W19" i="5"/>
  <c r="K119" i="5"/>
  <c r="J122" i="5"/>
  <c r="G107" i="5"/>
  <c r="G108" i="5" s="1"/>
  <c r="H103" i="5"/>
  <c r="I99" i="5" s="1"/>
  <c r="X40" i="5" l="1"/>
  <c r="W30" i="5"/>
  <c r="X19" i="5"/>
  <c r="X9" i="5"/>
  <c r="O119" i="5"/>
  <c r="K122" i="5"/>
  <c r="L119" i="5" s="1"/>
  <c r="L122" i="5" s="1"/>
  <c r="M119" i="5" s="1"/>
  <c r="M122" i="5" s="1"/>
  <c r="N119" i="5" s="1"/>
  <c r="N122" i="5" s="1"/>
  <c r="O122" i="5" s="1"/>
  <c r="I103" i="5"/>
  <c r="I107" i="5" s="1"/>
  <c r="I108" i="5" s="1"/>
  <c r="H107" i="5"/>
  <c r="H108" i="5" s="1"/>
  <c r="Y19" i="5" l="1"/>
  <c r="X30" i="5"/>
  <c r="Y9" i="5"/>
  <c r="Y40" i="5"/>
  <c r="P122" i="5"/>
  <c r="T119" i="5"/>
  <c r="K99" i="5"/>
  <c r="J103" i="5"/>
  <c r="J107" i="5" s="1"/>
  <c r="J108" i="5" s="1"/>
  <c r="X26" i="2"/>
  <c r="W26" i="2"/>
  <c r="W25" i="2" s="1"/>
  <c r="V26" i="2"/>
  <c r="V25" i="2" s="1"/>
  <c r="U26" i="2"/>
  <c r="S26" i="2"/>
  <c r="S25" i="2" s="1"/>
  <c r="R26" i="2"/>
  <c r="R25" i="2" s="1"/>
  <c r="Q26" i="2"/>
  <c r="P26" i="2"/>
  <c r="O32" i="2"/>
  <c r="J32" i="2"/>
  <c r="E32" i="2"/>
  <c r="Y23" i="2"/>
  <c r="T23" i="2"/>
  <c r="O23" i="2"/>
  <c r="Y20" i="2"/>
  <c r="T20" i="2"/>
  <c r="O20" i="2"/>
  <c r="X25" i="2"/>
  <c r="O28" i="2"/>
  <c r="J28" i="2"/>
  <c r="E28" i="2"/>
  <c r="Q31" i="2"/>
  <c r="Q30" i="2" s="1"/>
  <c r="R31" i="2"/>
  <c r="R30" i="2" s="1"/>
  <c r="S31" i="2"/>
  <c r="S30" i="2" s="1"/>
  <c r="P31" i="2"/>
  <c r="Y21" i="2"/>
  <c r="T21" i="2"/>
  <c r="O21" i="2"/>
  <c r="D26" i="2"/>
  <c r="D25" i="2" s="1"/>
  <c r="D15" i="2" s="1"/>
  <c r="F26" i="2"/>
  <c r="F25" i="2" s="1"/>
  <c r="F15" i="2" s="1"/>
  <c r="G26" i="2"/>
  <c r="G25" i="2" s="1"/>
  <c r="G15" i="2" s="1"/>
  <c r="H26" i="2"/>
  <c r="H25" i="2" s="1"/>
  <c r="I26" i="2"/>
  <c r="I25" i="2" s="1"/>
  <c r="K26" i="2"/>
  <c r="K25" i="2" s="1"/>
  <c r="L26" i="2"/>
  <c r="L25" i="2" s="1"/>
  <c r="M26" i="2"/>
  <c r="M25" i="2" s="1"/>
  <c r="N26" i="2"/>
  <c r="N25" i="2" s="1"/>
  <c r="C26" i="2"/>
  <c r="C25" i="2" s="1"/>
  <c r="U19" i="2"/>
  <c r="M22" i="2"/>
  <c r="M19" i="2" s="1"/>
  <c r="N22" i="2"/>
  <c r="N19" i="2" s="1"/>
  <c r="P22" i="2"/>
  <c r="Q22" i="2"/>
  <c r="Q19" i="2" s="1"/>
  <c r="R22" i="2"/>
  <c r="R19" i="2" s="1"/>
  <c r="S22" i="2"/>
  <c r="S19" i="2" s="1"/>
  <c r="V22" i="2"/>
  <c r="V19" i="2" s="1"/>
  <c r="W22" i="2"/>
  <c r="W19" i="2" s="1"/>
  <c r="X22" i="2"/>
  <c r="X19" i="2" s="1"/>
  <c r="L22" i="2"/>
  <c r="L19" i="2" s="1"/>
  <c r="F13" i="8"/>
  <c r="D15" i="8"/>
  <c r="E15" i="8" s="1"/>
  <c r="D12" i="8"/>
  <c r="E12" i="8" s="1"/>
  <c r="D11" i="8"/>
  <c r="E11" i="8" s="1"/>
  <c r="D10" i="8"/>
  <c r="E10" i="8" s="1"/>
  <c r="D9" i="8"/>
  <c r="E9" i="8" s="1"/>
  <c r="D8" i="8"/>
  <c r="D7" i="8"/>
  <c r="E7" i="8" s="1"/>
  <c r="C13" i="8"/>
  <c r="O45" i="2"/>
  <c r="N45" i="2"/>
  <c r="M45" i="2"/>
  <c r="L45" i="2"/>
  <c r="K45" i="2"/>
  <c r="J45" i="2"/>
  <c r="I45" i="2"/>
  <c r="H45" i="2"/>
  <c r="D47" i="2"/>
  <c r="D13" i="2" s="1"/>
  <c r="E47" i="2"/>
  <c r="E13" i="2" s="1"/>
  <c r="F47" i="2"/>
  <c r="F13" i="2" s="1"/>
  <c r="G47" i="2"/>
  <c r="G41" i="2" s="1"/>
  <c r="H47" i="2"/>
  <c r="H41" i="2" s="1"/>
  <c r="I47" i="2"/>
  <c r="I41" i="2" s="1"/>
  <c r="J47" i="2"/>
  <c r="J41" i="2" s="1"/>
  <c r="K47" i="2"/>
  <c r="L47" i="2"/>
  <c r="L13" i="2" s="1"/>
  <c r="M47" i="2"/>
  <c r="M13" i="2" s="1"/>
  <c r="N47" i="2"/>
  <c r="N13" i="2" s="1"/>
  <c r="O47" i="2"/>
  <c r="O41" i="2" s="1"/>
  <c r="C47" i="2"/>
  <c r="C41" i="2" s="1"/>
  <c r="O12" i="2"/>
  <c r="M12" i="2"/>
  <c r="L12" i="2"/>
  <c r="K12" i="2"/>
  <c r="J12" i="2"/>
  <c r="I12" i="2"/>
  <c r="H12" i="2"/>
  <c r="N12" i="2"/>
  <c r="Y26" i="2" l="1"/>
  <c r="D13" i="8"/>
  <c r="E8" i="8"/>
  <c r="E13" i="8" s="1"/>
  <c r="Y30" i="5"/>
  <c r="Q119" i="5"/>
  <c r="Q122" i="5" s="1"/>
  <c r="P51" i="5"/>
  <c r="O99" i="5"/>
  <c r="K103" i="5"/>
  <c r="L99" i="5" s="1"/>
  <c r="T26" i="2"/>
  <c r="P30" i="2"/>
  <c r="T30" i="2" s="1"/>
  <c r="T31" i="2"/>
  <c r="N15" i="2"/>
  <c r="N17" i="2" s="1"/>
  <c r="X15" i="2"/>
  <c r="M15" i="2"/>
  <c r="M17" i="2" s="1"/>
  <c r="H15" i="2"/>
  <c r="I15" i="2"/>
  <c r="T22" i="2"/>
  <c r="C15" i="2"/>
  <c r="C35" i="2" s="1"/>
  <c r="E25" i="2"/>
  <c r="E15" i="2" s="1"/>
  <c r="L15" i="2"/>
  <c r="L35" i="2" s="1"/>
  <c r="O19" i="2"/>
  <c r="D35" i="2"/>
  <c r="D37" i="2" s="1"/>
  <c r="D17" i="2"/>
  <c r="O25" i="2"/>
  <c r="Y19" i="2"/>
  <c r="R15" i="2"/>
  <c r="Y22" i="2"/>
  <c r="W15" i="2"/>
  <c r="O22" i="2"/>
  <c r="V15" i="2"/>
  <c r="P19" i="2"/>
  <c r="T19" i="2" s="1"/>
  <c r="S15" i="2"/>
  <c r="Q25" i="2"/>
  <c r="P25" i="2"/>
  <c r="U25" i="2"/>
  <c r="K15" i="2"/>
  <c r="K16" i="2" s="1"/>
  <c r="G35" i="2"/>
  <c r="G17" i="2"/>
  <c r="F17" i="2"/>
  <c r="F35" i="2"/>
  <c r="J25" i="2"/>
  <c r="N41" i="2"/>
  <c r="M41" i="2"/>
  <c r="M48" i="2"/>
  <c r="E41" i="2"/>
  <c r="K48" i="2"/>
  <c r="L41" i="2"/>
  <c r="K13" i="2"/>
  <c r="J13" i="2"/>
  <c r="I13" i="2"/>
  <c r="L48" i="2"/>
  <c r="F41" i="2"/>
  <c r="C13" i="2"/>
  <c r="H13" i="2"/>
  <c r="O13" i="2"/>
  <c r="G13" i="2"/>
  <c r="D41" i="2"/>
  <c r="N48" i="2"/>
  <c r="K41" i="2"/>
  <c r="I48" i="2"/>
  <c r="H48" i="2"/>
  <c r="M16" i="2" l="1"/>
  <c r="N35" i="2"/>
  <c r="S35" i="2" s="1"/>
  <c r="X35" i="2" s="1"/>
  <c r="R119" i="5"/>
  <c r="R122" i="5" s="1"/>
  <c r="Q51" i="5"/>
  <c r="L103" i="5"/>
  <c r="M99" i="5" s="1"/>
  <c r="K107" i="5"/>
  <c r="K108" i="5" s="1"/>
  <c r="N16" i="2"/>
  <c r="W16" i="2"/>
  <c r="R16" i="2"/>
  <c r="H35" i="2"/>
  <c r="H37" i="2" s="1"/>
  <c r="M35" i="2"/>
  <c r="R35" i="2" s="1"/>
  <c r="W35" i="2" s="1"/>
  <c r="W11" i="2" s="1"/>
  <c r="W47" i="2" s="1"/>
  <c r="W7" i="1" s="1"/>
  <c r="H17" i="2"/>
  <c r="I35" i="2"/>
  <c r="Y25" i="2"/>
  <c r="P15" i="2"/>
  <c r="P16" i="2" s="1"/>
  <c r="I16" i="2"/>
  <c r="I17" i="2"/>
  <c r="J15" i="2"/>
  <c r="J16" i="2" s="1"/>
  <c r="Q15" i="2"/>
  <c r="V16" i="2" s="1"/>
  <c r="C17" i="2"/>
  <c r="H16" i="2"/>
  <c r="X11" i="2"/>
  <c r="X47" i="2" s="1"/>
  <c r="O15" i="2"/>
  <c r="L37" i="2"/>
  <c r="Q35" i="2"/>
  <c r="V35" i="2" s="1"/>
  <c r="V11" i="2" s="1"/>
  <c r="V47" i="2" s="1"/>
  <c r="V7" i="1" s="1"/>
  <c r="E17" i="2"/>
  <c r="E35" i="2"/>
  <c r="E37" i="2" s="1"/>
  <c r="L17" i="2"/>
  <c r="L16" i="2"/>
  <c r="T25" i="2"/>
  <c r="S16" i="2"/>
  <c r="S11" i="2"/>
  <c r="X16" i="2"/>
  <c r="U15" i="2"/>
  <c r="N37" i="2"/>
  <c r="K35" i="2"/>
  <c r="K17" i="2"/>
  <c r="G37" i="2"/>
  <c r="L36" i="2"/>
  <c r="F37" i="2"/>
  <c r="C37" i="2"/>
  <c r="H36" i="2"/>
  <c r="L11" i="6"/>
  <c r="D11" i="6"/>
  <c r="E11" i="6"/>
  <c r="F11" i="6"/>
  <c r="G11" i="6"/>
  <c r="H11" i="6"/>
  <c r="I11" i="6"/>
  <c r="J11" i="6"/>
  <c r="K11" i="6"/>
  <c r="M11" i="6"/>
  <c r="N11" i="6"/>
  <c r="D12" i="6"/>
  <c r="E12" i="6"/>
  <c r="F12" i="6"/>
  <c r="G12" i="6"/>
  <c r="H12" i="6"/>
  <c r="I12" i="6"/>
  <c r="J12" i="6"/>
  <c r="K12" i="6"/>
  <c r="L12" i="6"/>
  <c r="M12" i="6"/>
  <c r="N12" i="6"/>
  <c r="D13" i="6"/>
  <c r="E13" i="6"/>
  <c r="F13" i="6"/>
  <c r="G13" i="6"/>
  <c r="H13" i="6"/>
  <c r="I13" i="6"/>
  <c r="J13" i="6"/>
  <c r="K13" i="6"/>
  <c r="L13" i="6"/>
  <c r="M13" i="6"/>
  <c r="N13" i="6"/>
  <c r="D14" i="6"/>
  <c r="E14" i="6"/>
  <c r="F14" i="6"/>
  <c r="G14" i="6"/>
  <c r="H14" i="6"/>
  <c r="I14" i="6"/>
  <c r="J14" i="6"/>
  <c r="K14" i="6"/>
  <c r="L14" i="6"/>
  <c r="M14" i="6"/>
  <c r="N14" i="6"/>
  <c r="D15" i="6"/>
  <c r="E15" i="6"/>
  <c r="F15" i="6"/>
  <c r="G15" i="6"/>
  <c r="H15" i="6"/>
  <c r="I15" i="6"/>
  <c r="J15" i="6"/>
  <c r="K15" i="6"/>
  <c r="L15" i="6"/>
  <c r="M15" i="6"/>
  <c r="N15" i="6"/>
  <c r="D16" i="6"/>
  <c r="E16" i="6"/>
  <c r="F16" i="6"/>
  <c r="G16" i="6"/>
  <c r="H16" i="6"/>
  <c r="I16" i="6"/>
  <c r="J16" i="6"/>
  <c r="K16" i="6"/>
  <c r="L16" i="6"/>
  <c r="M16" i="6"/>
  <c r="N16" i="6"/>
  <c r="C11" i="6"/>
  <c r="C16" i="6"/>
  <c r="C15" i="6"/>
  <c r="C14" i="6"/>
  <c r="C13" i="6"/>
  <c r="C12" i="6"/>
  <c r="D26" i="6" l="1"/>
  <c r="C26" i="6"/>
  <c r="N36" i="2"/>
  <c r="L107" i="5"/>
  <c r="L108" i="5" s="1"/>
  <c r="S119" i="5"/>
  <c r="S122" i="5" s="1"/>
  <c r="R51" i="5"/>
  <c r="M103" i="5"/>
  <c r="N99" i="5" s="1"/>
  <c r="J35" i="2"/>
  <c r="J36" i="2" s="1"/>
  <c r="M36" i="2"/>
  <c r="R11" i="2"/>
  <c r="R47" i="2" s="1"/>
  <c r="R37" i="2" s="1"/>
  <c r="I36" i="2"/>
  <c r="M37" i="2"/>
  <c r="X12" i="2"/>
  <c r="Q16" i="2"/>
  <c r="I37" i="2"/>
  <c r="Y15" i="2"/>
  <c r="O16" i="2"/>
  <c r="Q11" i="2"/>
  <c r="V12" i="2" s="1"/>
  <c r="J17" i="2"/>
  <c r="T15" i="2"/>
  <c r="X13" i="2"/>
  <c r="X7" i="1"/>
  <c r="V74" i="5"/>
  <c r="V95" i="5" s="1"/>
  <c r="V14" i="1"/>
  <c r="V17" i="1"/>
  <c r="V20" i="1"/>
  <c r="V55" i="1" s="1"/>
  <c r="V23" i="1"/>
  <c r="V11" i="1"/>
  <c r="O35" i="2"/>
  <c r="O37" i="2" s="1"/>
  <c r="O17" i="2"/>
  <c r="K37" i="2"/>
  <c r="P35" i="2"/>
  <c r="W74" i="5"/>
  <c r="W95" i="5" s="1"/>
  <c r="W11" i="1"/>
  <c r="W10" i="1" s="1"/>
  <c r="W75" i="5" s="1"/>
  <c r="W23" i="1"/>
  <c r="W14" i="1"/>
  <c r="W20" i="1"/>
  <c r="W55" i="1" s="1"/>
  <c r="W17" i="1"/>
  <c r="W37" i="2"/>
  <c r="W41" i="2"/>
  <c r="W17" i="2"/>
  <c r="X41" i="2"/>
  <c r="X37" i="2"/>
  <c r="X17" i="2"/>
  <c r="U16" i="2"/>
  <c r="S12" i="2"/>
  <c r="S47" i="2"/>
  <c r="V37" i="2"/>
  <c r="V41" i="2"/>
  <c r="V13" i="2"/>
  <c r="W13" i="2"/>
  <c r="V17" i="2"/>
  <c r="K36" i="2"/>
  <c r="O7" i="1"/>
  <c r="D7" i="7" s="1"/>
  <c r="N7" i="1"/>
  <c r="N74" i="5" s="1"/>
  <c r="N95" i="5" s="1"/>
  <c r="N96" i="5" s="1"/>
  <c r="N105" i="5" s="1"/>
  <c r="O105" i="5" s="1"/>
  <c r="M7" i="1"/>
  <c r="L7" i="1"/>
  <c r="K7" i="1"/>
  <c r="J7" i="1"/>
  <c r="J74" i="5" s="1"/>
  <c r="J95" i="5" s="1"/>
  <c r="J96" i="5" s="1"/>
  <c r="I7" i="1"/>
  <c r="H7" i="1"/>
  <c r="G7" i="1"/>
  <c r="G74" i="5" s="1"/>
  <c r="G95" i="5" s="1"/>
  <c r="G96" i="5" s="1"/>
  <c r="G105" i="5" s="1"/>
  <c r="F7" i="1"/>
  <c r="F74" i="5" s="1"/>
  <c r="F95" i="5" s="1"/>
  <c r="F96" i="5" s="1"/>
  <c r="F105" i="5" s="1"/>
  <c r="E7" i="1"/>
  <c r="E74" i="5" s="1"/>
  <c r="E95" i="5" s="1"/>
  <c r="E96" i="5" s="1"/>
  <c r="D7" i="1"/>
  <c r="D74" i="5" s="1"/>
  <c r="D95" i="5" s="1"/>
  <c r="D96" i="5" s="1"/>
  <c r="D105" i="5" s="1"/>
  <c r="E105" i="5" s="1"/>
  <c r="C7" i="1"/>
  <c r="C74" i="5" s="1"/>
  <c r="O48" i="2"/>
  <c r="J48" i="2"/>
  <c r="C95" i="5" l="1"/>
  <c r="C96" i="5" s="1"/>
  <c r="C105" i="5" s="1"/>
  <c r="C84" i="5"/>
  <c r="D29" i="7"/>
  <c r="D22" i="7"/>
  <c r="D25" i="7"/>
  <c r="R12" i="2"/>
  <c r="J37" i="2"/>
  <c r="R48" i="2"/>
  <c r="W48" i="2"/>
  <c r="W12" i="2"/>
  <c r="R17" i="2"/>
  <c r="R7" i="1"/>
  <c r="R11" i="1" s="1"/>
  <c r="R41" i="2"/>
  <c r="R13" i="2"/>
  <c r="S51" i="5"/>
  <c r="U119" i="5"/>
  <c r="T122" i="5"/>
  <c r="T51" i="5" s="1"/>
  <c r="N103" i="5"/>
  <c r="O103" i="5" s="1"/>
  <c r="M107" i="5"/>
  <c r="M108" i="5" s="1"/>
  <c r="E71" i="5"/>
  <c r="J71" i="5"/>
  <c r="D71" i="5"/>
  <c r="F71" i="5"/>
  <c r="N71" i="5"/>
  <c r="G71" i="5"/>
  <c r="V80" i="5"/>
  <c r="V13" i="5" s="1"/>
  <c r="W80" i="5"/>
  <c r="W13" i="5" s="1"/>
  <c r="V78" i="5"/>
  <c r="V11" i="5" s="1"/>
  <c r="W78" i="5"/>
  <c r="W11" i="5" s="1"/>
  <c r="D70" i="5"/>
  <c r="D69" i="5"/>
  <c r="F69" i="5"/>
  <c r="F70" i="5"/>
  <c r="K70" i="5"/>
  <c r="K69" i="5"/>
  <c r="E69" i="5"/>
  <c r="E70" i="5"/>
  <c r="G70" i="5"/>
  <c r="G69" i="5"/>
  <c r="O70" i="5"/>
  <c r="O69" i="5"/>
  <c r="H70" i="5"/>
  <c r="H69" i="5"/>
  <c r="Y16" i="2"/>
  <c r="Q12" i="2"/>
  <c r="Q47" i="2"/>
  <c r="Q17" i="2" s="1"/>
  <c r="T16" i="2"/>
  <c r="H8" i="1"/>
  <c r="H74" i="5"/>
  <c r="H95" i="5" s="1"/>
  <c r="H96" i="5" s="1"/>
  <c r="H105" i="5" s="1"/>
  <c r="U35" i="2"/>
  <c r="P11" i="2"/>
  <c r="I8" i="1"/>
  <c r="I74" i="5"/>
  <c r="I95" i="5" s="1"/>
  <c r="I96" i="5" s="1"/>
  <c r="I105" i="5" s="1"/>
  <c r="J105" i="5" s="1"/>
  <c r="G86" i="5"/>
  <c r="G88" i="5"/>
  <c r="G87" i="5"/>
  <c r="G84" i="5"/>
  <c r="D88" i="5"/>
  <c r="D84" i="5"/>
  <c r="D86" i="5"/>
  <c r="D87" i="5"/>
  <c r="L74" i="5"/>
  <c r="L95" i="5" s="1"/>
  <c r="L96" i="5" s="1"/>
  <c r="L105" i="5" s="1"/>
  <c r="S13" i="2"/>
  <c r="S7" i="1"/>
  <c r="X8" i="1" s="1"/>
  <c r="O74" i="5"/>
  <c r="O95" i="5" s="1"/>
  <c r="O96" i="5" s="1"/>
  <c r="J86" i="5"/>
  <c r="J88" i="5"/>
  <c r="J84" i="5"/>
  <c r="J87" i="5"/>
  <c r="O36" i="2"/>
  <c r="C87" i="5"/>
  <c r="C88" i="5"/>
  <c r="C86" i="5"/>
  <c r="K74" i="5"/>
  <c r="K95" i="5" s="1"/>
  <c r="K96" i="5" s="1"/>
  <c r="K105" i="5" s="1"/>
  <c r="W26" i="1"/>
  <c r="X23" i="1"/>
  <c r="X74" i="5"/>
  <c r="X95" i="5" s="1"/>
  <c r="X17" i="1"/>
  <c r="X20" i="1"/>
  <c r="X55" i="1" s="1"/>
  <c r="X14" i="1"/>
  <c r="X11" i="1"/>
  <c r="E84" i="5"/>
  <c r="E87" i="5"/>
  <c r="E86" i="5"/>
  <c r="E88" i="5"/>
  <c r="M74" i="5"/>
  <c r="M95" i="5" s="1"/>
  <c r="M96" i="5" s="1"/>
  <c r="M105" i="5" s="1"/>
  <c r="F86" i="5"/>
  <c r="F84" i="5"/>
  <c r="N84" i="5"/>
  <c r="N88" i="5"/>
  <c r="N86" i="5"/>
  <c r="N87" i="5"/>
  <c r="V10" i="1"/>
  <c r="V75" i="5" s="1"/>
  <c r="V26" i="1"/>
  <c r="N8" i="1"/>
  <c r="L8" i="1"/>
  <c r="K8" i="1"/>
  <c r="M8" i="1"/>
  <c r="S48" i="2"/>
  <c r="S37" i="2"/>
  <c r="S41" i="2"/>
  <c r="S17" i="2"/>
  <c r="X48" i="2"/>
  <c r="F53" i="5"/>
  <c r="F54" i="5" s="1"/>
  <c r="F13" i="5"/>
  <c r="F35" i="5"/>
  <c r="F81" i="5" s="1"/>
  <c r="F88" i="5" s="1"/>
  <c r="C54" i="5"/>
  <c r="D54" i="5"/>
  <c r="E54" i="5"/>
  <c r="G54" i="5"/>
  <c r="H54" i="5"/>
  <c r="I54" i="5"/>
  <c r="J54" i="5"/>
  <c r="K54" i="5"/>
  <c r="L54" i="5"/>
  <c r="M54" i="5"/>
  <c r="N54" i="5"/>
  <c r="O54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C36" i="5"/>
  <c r="D36" i="5"/>
  <c r="E36" i="5"/>
  <c r="G36" i="5"/>
  <c r="H36" i="5"/>
  <c r="I36" i="5"/>
  <c r="J36" i="5"/>
  <c r="K36" i="5"/>
  <c r="M36" i="5"/>
  <c r="N36" i="5"/>
  <c r="O36" i="5"/>
  <c r="L3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C14" i="5"/>
  <c r="D14" i="5"/>
  <c r="E14" i="5"/>
  <c r="G14" i="5"/>
  <c r="H14" i="5"/>
  <c r="I14" i="5"/>
  <c r="J14" i="5"/>
  <c r="K14" i="5"/>
  <c r="L14" i="5"/>
  <c r="M14" i="5"/>
  <c r="N14" i="5"/>
  <c r="O14" i="5"/>
  <c r="V48" i="2" l="1"/>
  <c r="R17" i="1"/>
  <c r="Q48" i="2"/>
  <c r="Q41" i="2"/>
  <c r="R14" i="1"/>
  <c r="R20" i="1"/>
  <c r="R55" i="1" s="1"/>
  <c r="W8" i="1"/>
  <c r="R23" i="1"/>
  <c r="R74" i="5"/>
  <c r="R95" i="5" s="1"/>
  <c r="R8" i="1"/>
  <c r="O107" i="5"/>
  <c r="O108" i="5" s="1"/>
  <c r="P99" i="5"/>
  <c r="U122" i="5"/>
  <c r="Y119" i="5"/>
  <c r="N107" i="5"/>
  <c r="N108" i="5" s="1"/>
  <c r="X108" i="5" s="1"/>
  <c r="M71" i="5"/>
  <c r="L71" i="5"/>
  <c r="K71" i="5"/>
  <c r="H71" i="5"/>
  <c r="I71" i="5"/>
  <c r="X80" i="5"/>
  <c r="X13" i="5" s="1"/>
  <c r="O71" i="5"/>
  <c r="O87" i="5"/>
  <c r="X78" i="5"/>
  <c r="X11" i="5" s="1"/>
  <c r="R78" i="5"/>
  <c r="R11" i="5" s="1"/>
  <c r="L70" i="5"/>
  <c r="L69" i="5"/>
  <c r="N69" i="5"/>
  <c r="N70" i="5"/>
  <c r="M70" i="5"/>
  <c r="M69" i="5"/>
  <c r="I70" i="5"/>
  <c r="I69" i="5"/>
  <c r="J69" i="5"/>
  <c r="J70" i="5"/>
  <c r="M27" i="5"/>
  <c r="F36" i="5"/>
  <c r="F48" i="5" s="1"/>
  <c r="F58" i="5" s="1"/>
  <c r="Q13" i="2"/>
  <c r="Q37" i="2"/>
  <c r="Q7" i="1"/>
  <c r="Q8" i="1" s="1"/>
  <c r="S8" i="1"/>
  <c r="W27" i="1"/>
  <c r="W54" i="1"/>
  <c r="W57" i="1" s="1"/>
  <c r="W58" i="1" s="1"/>
  <c r="X10" i="1"/>
  <c r="X75" i="5" s="1"/>
  <c r="X26" i="1"/>
  <c r="K86" i="5"/>
  <c r="K84" i="5"/>
  <c r="K87" i="5"/>
  <c r="K88" i="5"/>
  <c r="R10" i="1"/>
  <c r="R75" i="5" s="1"/>
  <c r="I88" i="5"/>
  <c r="I87" i="5"/>
  <c r="I84" i="5"/>
  <c r="I86" i="5"/>
  <c r="V27" i="1"/>
  <c r="V54" i="1"/>
  <c r="V57" i="1" s="1"/>
  <c r="V58" i="1" s="1"/>
  <c r="M84" i="5"/>
  <c r="M86" i="5"/>
  <c r="M87" i="5"/>
  <c r="M88" i="5"/>
  <c r="P47" i="2"/>
  <c r="T11" i="2"/>
  <c r="T12" i="2" s="1"/>
  <c r="P12" i="2"/>
  <c r="Y35" i="2"/>
  <c r="U11" i="2"/>
  <c r="S23" i="1"/>
  <c r="S74" i="5"/>
  <c r="S95" i="5" s="1"/>
  <c r="S14" i="1"/>
  <c r="S20" i="1"/>
  <c r="S55" i="1" s="1"/>
  <c r="S11" i="1"/>
  <c r="S17" i="1"/>
  <c r="O86" i="5"/>
  <c r="O84" i="5"/>
  <c r="O88" i="5"/>
  <c r="H84" i="5"/>
  <c r="H87" i="5"/>
  <c r="H88" i="5"/>
  <c r="H86" i="5"/>
  <c r="L84" i="5"/>
  <c r="L87" i="5"/>
  <c r="L86" i="5"/>
  <c r="D27" i="5"/>
  <c r="L27" i="5"/>
  <c r="C27" i="5"/>
  <c r="N48" i="5"/>
  <c r="N58" i="5" s="1"/>
  <c r="K27" i="5"/>
  <c r="O48" i="5"/>
  <c r="O58" i="5" s="1"/>
  <c r="E48" i="5"/>
  <c r="E58" i="5" s="1"/>
  <c r="M48" i="5"/>
  <c r="M58" i="5" s="1"/>
  <c r="L36" i="5"/>
  <c r="L48" i="5" s="1"/>
  <c r="L58" i="5" s="1"/>
  <c r="L81" i="5"/>
  <c r="L88" i="5" s="1"/>
  <c r="F14" i="5"/>
  <c r="F27" i="5" s="1"/>
  <c r="F80" i="5"/>
  <c r="F87" i="5" s="1"/>
  <c r="J27" i="5"/>
  <c r="G27" i="5"/>
  <c r="K48" i="5"/>
  <c r="K58" i="5" s="1"/>
  <c r="C48" i="5"/>
  <c r="C58" i="5" s="1"/>
  <c r="O27" i="5"/>
  <c r="I48" i="5"/>
  <c r="I58" i="5" s="1"/>
  <c r="G48" i="5"/>
  <c r="G58" i="5" s="1"/>
  <c r="D48" i="5"/>
  <c r="D58" i="5" s="1"/>
  <c r="I27" i="5"/>
  <c r="H27" i="5"/>
  <c r="N27" i="5"/>
  <c r="E27" i="5"/>
  <c r="J48" i="5"/>
  <c r="J58" i="5" s="1"/>
  <c r="H48" i="5"/>
  <c r="H58" i="5" s="1"/>
  <c r="P87" i="5" l="1"/>
  <c r="P86" i="5"/>
  <c r="P107" i="5"/>
  <c r="R108" i="5"/>
  <c r="R26" i="1"/>
  <c r="R27" i="1" s="1"/>
  <c r="P108" i="5"/>
  <c r="P29" i="1" s="1"/>
  <c r="P71" i="5"/>
  <c r="Q71" i="5" s="1"/>
  <c r="R71" i="5" s="1"/>
  <c r="U108" i="5"/>
  <c r="Q108" i="5"/>
  <c r="M60" i="5"/>
  <c r="W108" i="5"/>
  <c r="V108" i="5"/>
  <c r="S108" i="5"/>
  <c r="Y13" i="5"/>
  <c r="X29" i="10"/>
  <c r="Y11" i="5"/>
  <c r="X27" i="10"/>
  <c r="V119" i="5"/>
  <c r="V122" i="5" s="1"/>
  <c r="U51" i="5"/>
  <c r="P69" i="5"/>
  <c r="Q69" i="5" s="1"/>
  <c r="R69" i="5" s="1"/>
  <c r="P88" i="5"/>
  <c r="Q88" i="5" s="1"/>
  <c r="P70" i="5"/>
  <c r="Q70" i="5" s="1"/>
  <c r="R70" i="5" s="1"/>
  <c r="R65" i="5" s="1"/>
  <c r="R12" i="10" s="1"/>
  <c r="R15" i="10" s="1"/>
  <c r="P84" i="5"/>
  <c r="S78" i="5"/>
  <c r="S11" i="5" s="1"/>
  <c r="L60" i="5"/>
  <c r="D60" i="5"/>
  <c r="V8" i="1"/>
  <c r="Q11" i="1"/>
  <c r="Q10" i="1" s="1"/>
  <c r="Q75" i="5" s="1"/>
  <c r="Q20" i="1"/>
  <c r="Q55" i="1" s="1"/>
  <c r="Q23" i="1"/>
  <c r="Q14" i="1"/>
  <c r="Q17" i="1"/>
  <c r="Q74" i="5"/>
  <c r="Q95" i="5" s="1"/>
  <c r="S26" i="1"/>
  <c r="S27" i="1" s="1"/>
  <c r="P41" i="2"/>
  <c r="P7" i="1"/>
  <c r="P48" i="2"/>
  <c r="T47" i="2"/>
  <c r="P37" i="2"/>
  <c r="P17" i="2"/>
  <c r="X27" i="1"/>
  <c r="X54" i="1"/>
  <c r="X57" i="1" s="1"/>
  <c r="X58" i="1" s="1"/>
  <c r="U12" i="2"/>
  <c r="U47" i="2"/>
  <c r="Y47" i="2" s="1"/>
  <c r="Y11" i="2"/>
  <c r="Y12" i="2" s="1"/>
  <c r="S10" i="1"/>
  <c r="P13" i="2"/>
  <c r="J60" i="5"/>
  <c r="G60" i="5"/>
  <c r="C60" i="5"/>
  <c r="K60" i="5"/>
  <c r="O60" i="5"/>
  <c r="N60" i="5"/>
  <c r="E60" i="5"/>
  <c r="F60" i="5"/>
  <c r="I60" i="5"/>
  <c r="H60" i="5"/>
  <c r="O50" i="1"/>
  <c r="N50" i="1"/>
  <c r="M50" i="1"/>
  <c r="L50" i="1"/>
  <c r="K50" i="1"/>
  <c r="J50" i="1"/>
  <c r="I50" i="1"/>
  <c r="H50" i="1"/>
  <c r="O47" i="1"/>
  <c r="H47" i="1"/>
  <c r="I47" i="1"/>
  <c r="J47" i="1"/>
  <c r="K47" i="1"/>
  <c r="L47" i="1"/>
  <c r="M47" i="1"/>
  <c r="N47" i="1"/>
  <c r="C18" i="1"/>
  <c r="D18" i="1"/>
  <c r="F24" i="1"/>
  <c r="I15" i="1"/>
  <c r="J15" i="1"/>
  <c r="K15" i="1"/>
  <c r="M21" i="1"/>
  <c r="Q84" i="5" l="1"/>
  <c r="S70" i="5"/>
  <c r="U70" i="5" s="1"/>
  <c r="V70" i="5" s="1"/>
  <c r="R54" i="1"/>
  <c r="R57" i="1" s="1"/>
  <c r="R58" i="1" s="1"/>
  <c r="Y108" i="5"/>
  <c r="T108" i="5"/>
  <c r="T11" i="5"/>
  <c r="V27" i="10" s="1"/>
  <c r="S27" i="10"/>
  <c r="W119" i="5"/>
  <c r="W122" i="5" s="1"/>
  <c r="V51" i="5"/>
  <c r="Q65" i="5"/>
  <c r="Q12" i="10" s="1"/>
  <c r="Q15" i="10" s="1"/>
  <c r="R88" i="5"/>
  <c r="Q81" i="5"/>
  <c r="Q35" i="5" s="1"/>
  <c r="S65" i="5"/>
  <c r="S12" i="10" s="1"/>
  <c r="S15" i="10" s="1"/>
  <c r="Q66" i="5"/>
  <c r="Q87" i="5"/>
  <c r="S71" i="5"/>
  <c r="R66" i="5"/>
  <c r="S69" i="5"/>
  <c r="R64" i="5"/>
  <c r="R36" i="10" s="1"/>
  <c r="R38" i="10" s="1"/>
  <c r="R49" i="10" s="1"/>
  <c r="R92" i="5" s="1"/>
  <c r="W70" i="5"/>
  <c r="V65" i="5"/>
  <c r="V12" i="10" s="1"/>
  <c r="V15" i="10" s="1"/>
  <c r="Q78" i="5"/>
  <c r="Q11" i="5" s="1"/>
  <c r="Q64" i="5"/>
  <c r="Q36" i="10" s="1"/>
  <c r="Q38" i="10" s="1"/>
  <c r="Q49" i="10" s="1"/>
  <c r="Q92" i="5" s="1"/>
  <c r="Q26" i="1"/>
  <c r="Q54" i="1" s="1"/>
  <c r="Q57" i="1" s="1"/>
  <c r="Q58" i="1" s="1"/>
  <c r="S54" i="1"/>
  <c r="S57" i="1" s="1"/>
  <c r="S58" i="1" s="1"/>
  <c r="U13" i="2"/>
  <c r="U7" i="1"/>
  <c r="U17" i="2"/>
  <c r="U41" i="2"/>
  <c r="U37" i="2"/>
  <c r="U48" i="2"/>
  <c r="Q86" i="5"/>
  <c r="Q77" i="5"/>
  <c r="Q10" i="5" s="1"/>
  <c r="R84" i="5"/>
  <c r="Y13" i="2"/>
  <c r="T7" i="1"/>
  <c r="E7" i="7" s="1"/>
  <c r="T13" i="2"/>
  <c r="T17" i="2"/>
  <c r="T37" i="2"/>
  <c r="T41" i="2"/>
  <c r="T48" i="2"/>
  <c r="S75" i="5"/>
  <c r="P20" i="1"/>
  <c r="P74" i="5"/>
  <c r="P95" i="5" s="1"/>
  <c r="P17" i="1"/>
  <c r="T17" i="1" s="1"/>
  <c r="P11" i="1"/>
  <c r="P23" i="1"/>
  <c r="T23" i="1" s="1"/>
  <c r="P14" i="1"/>
  <c r="T14" i="1" s="1"/>
  <c r="P8" i="1"/>
  <c r="L11" i="1"/>
  <c r="L26" i="1" s="1"/>
  <c r="N11" i="1"/>
  <c r="N26" i="1" s="1"/>
  <c r="K11" i="1"/>
  <c r="F21" i="1"/>
  <c r="I11" i="1"/>
  <c r="I12" i="1" s="1"/>
  <c r="F11" i="1"/>
  <c r="F26" i="1" s="1"/>
  <c r="N21" i="1"/>
  <c r="D11" i="1"/>
  <c r="D26" i="1" s="1"/>
  <c r="C11" i="1"/>
  <c r="H11" i="1"/>
  <c r="E18" i="1"/>
  <c r="O11" i="1"/>
  <c r="G11" i="1"/>
  <c r="E15" i="1"/>
  <c r="M15" i="1"/>
  <c r="F18" i="1"/>
  <c r="N18" i="1"/>
  <c r="G21" i="1"/>
  <c r="O21" i="1"/>
  <c r="H24" i="1"/>
  <c r="C15" i="1"/>
  <c r="L15" i="1"/>
  <c r="F15" i="1"/>
  <c r="N15" i="1"/>
  <c r="G18" i="1"/>
  <c r="O18" i="1"/>
  <c r="H21" i="1"/>
  <c r="I24" i="1"/>
  <c r="D15" i="1"/>
  <c r="M18" i="1"/>
  <c r="G24" i="1"/>
  <c r="O24" i="1"/>
  <c r="O8" i="1"/>
  <c r="J8" i="1"/>
  <c r="M11" i="1"/>
  <c r="E11" i="1"/>
  <c r="G15" i="1"/>
  <c r="O15" i="1"/>
  <c r="H18" i="1"/>
  <c r="I21" i="1"/>
  <c r="J24" i="1"/>
  <c r="H15" i="1"/>
  <c r="I18" i="1"/>
  <c r="J21" i="1"/>
  <c r="C24" i="1"/>
  <c r="K24" i="1"/>
  <c r="J18" i="1"/>
  <c r="C21" i="1"/>
  <c r="K21" i="1"/>
  <c r="D24" i="1"/>
  <c r="L24" i="1"/>
  <c r="J11" i="1"/>
  <c r="K18" i="1"/>
  <c r="D21" i="1"/>
  <c r="L21" i="1"/>
  <c r="E24" i="1"/>
  <c r="M24" i="1"/>
  <c r="L18" i="1"/>
  <c r="E21" i="1"/>
  <c r="N24" i="1"/>
  <c r="Q27" i="1" l="1"/>
  <c r="E9" i="7"/>
  <c r="E8" i="7"/>
  <c r="P77" i="5"/>
  <c r="P10" i="5" s="1"/>
  <c r="P26" i="10" s="1"/>
  <c r="T18" i="1"/>
  <c r="T24" i="1"/>
  <c r="T15" i="1"/>
  <c r="P81" i="5"/>
  <c r="P35" i="5" s="1"/>
  <c r="P32" i="10" s="1"/>
  <c r="R27" i="10"/>
  <c r="X119" i="5"/>
  <c r="X122" i="5" s="1"/>
  <c r="W51" i="5"/>
  <c r="P80" i="5"/>
  <c r="P13" i="5" s="1"/>
  <c r="P29" i="10" s="1"/>
  <c r="S88" i="5"/>
  <c r="R81" i="5"/>
  <c r="R35" i="5" s="1"/>
  <c r="R32" i="10" s="1"/>
  <c r="S66" i="5"/>
  <c r="U71" i="5"/>
  <c r="P65" i="5"/>
  <c r="P12" i="10" s="1"/>
  <c r="P66" i="5"/>
  <c r="P64" i="5"/>
  <c r="P36" i="10" s="1"/>
  <c r="U69" i="5"/>
  <c r="V69" i="5" s="1"/>
  <c r="S64" i="5"/>
  <c r="S36" i="10" s="1"/>
  <c r="S38" i="10" s="1"/>
  <c r="S49" i="10" s="1"/>
  <c r="S92" i="5" s="1"/>
  <c r="R87" i="5"/>
  <c r="Q80" i="5"/>
  <c r="Q13" i="5" s="1"/>
  <c r="X70" i="5"/>
  <c r="X65" i="5" s="1"/>
  <c r="X12" i="10" s="1"/>
  <c r="X15" i="10" s="1"/>
  <c r="W65" i="5"/>
  <c r="W12" i="10" s="1"/>
  <c r="W15" i="10" s="1"/>
  <c r="F27" i="1"/>
  <c r="F54" i="1"/>
  <c r="F57" i="1" s="1"/>
  <c r="F58" i="1" s="1"/>
  <c r="T11" i="1"/>
  <c r="T12" i="1" s="1"/>
  <c r="P26" i="1"/>
  <c r="R77" i="5"/>
  <c r="R10" i="5" s="1"/>
  <c r="R26" i="10" s="1"/>
  <c r="S84" i="5"/>
  <c r="S77" i="5" s="1"/>
  <c r="S10" i="5" s="1"/>
  <c r="P78" i="5"/>
  <c r="P11" i="5" s="1"/>
  <c r="P27" i="10" s="1"/>
  <c r="U8" i="1"/>
  <c r="U74" i="5"/>
  <c r="U95" i="5" s="1"/>
  <c r="U11" i="1"/>
  <c r="U10" i="1" s="1"/>
  <c r="U17" i="1"/>
  <c r="Y17" i="1" s="1"/>
  <c r="U23" i="1"/>
  <c r="Y23" i="1" s="1"/>
  <c r="U14" i="1"/>
  <c r="Y14" i="1" s="1"/>
  <c r="U20" i="1"/>
  <c r="P10" i="1"/>
  <c r="N27" i="1"/>
  <c r="N54" i="1"/>
  <c r="N57" i="1" s="1"/>
  <c r="N58" i="1" s="1"/>
  <c r="L27" i="1"/>
  <c r="L54" i="1"/>
  <c r="L57" i="1" s="1"/>
  <c r="L58" i="1" s="1"/>
  <c r="P55" i="1"/>
  <c r="T20" i="1"/>
  <c r="Y7" i="1"/>
  <c r="Y37" i="2"/>
  <c r="Y17" i="2"/>
  <c r="Y48" i="2"/>
  <c r="Y41" i="2"/>
  <c r="D27" i="1"/>
  <c r="D54" i="1"/>
  <c r="D57" i="1" s="1"/>
  <c r="D58" i="1" s="1"/>
  <c r="R86" i="5"/>
  <c r="R79" i="5" s="1"/>
  <c r="Q79" i="5"/>
  <c r="Q32" i="5" s="1"/>
  <c r="T74" i="5"/>
  <c r="T95" i="5" s="1"/>
  <c r="T8" i="1"/>
  <c r="P79" i="5"/>
  <c r="P32" i="5" s="1"/>
  <c r="N33" i="1"/>
  <c r="N38" i="1" s="1"/>
  <c r="N114" i="5" s="1"/>
  <c r="D33" i="1"/>
  <c r="D36" i="1" s="1"/>
  <c r="L12" i="1"/>
  <c r="L33" i="1"/>
  <c r="L36" i="1" s="1"/>
  <c r="D12" i="1"/>
  <c r="I26" i="1"/>
  <c r="F33" i="1"/>
  <c r="F38" i="1" s="1"/>
  <c r="N12" i="1"/>
  <c r="C26" i="1"/>
  <c r="C54" i="1" s="1"/>
  <c r="C57" i="1" s="1"/>
  <c r="C58" i="1" s="1"/>
  <c r="C12" i="1"/>
  <c r="F12" i="1"/>
  <c r="K26" i="1"/>
  <c r="K54" i="1" s="1"/>
  <c r="K57" i="1" s="1"/>
  <c r="K58" i="1" s="1"/>
  <c r="K12" i="1"/>
  <c r="H26" i="1"/>
  <c r="H54" i="1" s="1"/>
  <c r="H57" i="1" s="1"/>
  <c r="H58" i="1" s="1"/>
  <c r="H12" i="1"/>
  <c r="J12" i="1"/>
  <c r="J26" i="1"/>
  <c r="J54" i="1" s="1"/>
  <c r="J57" i="1" s="1"/>
  <c r="J58" i="1" s="1"/>
  <c r="G26" i="1"/>
  <c r="G54" i="1" s="1"/>
  <c r="G57" i="1" s="1"/>
  <c r="G58" i="1" s="1"/>
  <c r="G12" i="1"/>
  <c r="O26" i="1"/>
  <c r="O12" i="1"/>
  <c r="E26" i="1"/>
  <c r="E54" i="1" s="1"/>
  <c r="E57" i="1" s="1"/>
  <c r="E58" i="1" s="1"/>
  <c r="E12" i="1"/>
  <c r="M26" i="1"/>
  <c r="M54" i="1" s="1"/>
  <c r="M57" i="1" s="1"/>
  <c r="M58" i="1" s="1"/>
  <c r="M12" i="1"/>
  <c r="F7" i="7" l="1"/>
  <c r="Q32" i="10"/>
  <c r="Q26" i="10"/>
  <c r="Y18" i="1"/>
  <c r="F7" i="10"/>
  <c r="F114" i="5"/>
  <c r="Y15" i="1"/>
  <c r="Y24" i="1"/>
  <c r="P38" i="10"/>
  <c r="T36" i="10"/>
  <c r="T10" i="5"/>
  <c r="S26" i="10"/>
  <c r="T12" i="10"/>
  <c r="E24" i="7" s="1"/>
  <c r="P15" i="10"/>
  <c r="Q28" i="10"/>
  <c r="P33" i="10"/>
  <c r="P28" i="10"/>
  <c r="Q29" i="10"/>
  <c r="Q27" i="10"/>
  <c r="Y122" i="5"/>
  <c r="Y51" i="5" s="1"/>
  <c r="X51" i="5"/>
  <c r="P67" i="5"/>
  <c r="P18" i="5" s="1"/>
  <c r="P21" i="5" s="1"/>
  <c r="P25" i="5" s="1"/>
  <c r="S81" i="5"/>
  <c r="S35" i="5" s="1"/>
  <c r="U88" i="5"/>
  <c r="S87" i="5"/>
  <c r="S80" i="5" s="1"/>
  <c r="S13" i="5" s="1"/>
  <c r="R80" i="5"/>
  <c r="R13" i="5" s="1"/>
  <c r="R29" i="10" s="1"/>
  <c r="R33" i="10" s="1"/>
  <c r="W69" i="5"/>
  <c r="V64" i="5"/>
  <c r="V36" i="10" s="1"/>
  <c r="V38" i="10" s="1"/>
  <c r="V49" i="10" s="1"/>
  <c r="V92" i="5" s="1"/>
  <c r="U80" i="5"/>
  <c r="U13" i="5" s="1"/>
  <c r="U65" i="5"/>
  <c r="U12" i="10" s="1"/>
  <c r="V71" i="5"/>
  <c r="U66" i="5"/>
  <c r="U78" i="5"/>
  <c r="U11" i="5" s="1"/>
  <c r="U64" i="5"/>
  <c r="U36" i="10" s="1"/>
  <c r="T55" i="1"/>
  <c r="T21" i="1"/>
  <c r="N41" i="1"/>
  <c r="N44" i="1" s="1"/>
  <c r="N7" i="10"/>
  <c r="T26" i="1"/>
  <c r="T27" i="1" s="1"/>
  <c r="U84" i="5"/>
  <c r="U75" i="5"/>
  <c r="Y10" i="1"/>
  <c r="Y75" i="5" s="1"/>
  <c r="P75" i="5"/>
  <c r="T10" i="1"/>
  <c r="T75" i="5" s="1"/>
  <c r="U55" i="1"/>
  <c r="Y20" i="1"/>
  <c r="U26" i="1"/>
  <c r="Y11" i="1"/>
  <c r="Y12" i="1" s="1"/>
  <c r="S86" i="5"/>
  <c r="S79" i="5" s="1"/>
  <c r="S32" i="5" s="1"/>
  <c r="R32" i="5"/>
  <c r="Y74" i="5"/>
  <c r="Y95" i="5" s="1"/>
  <c r="Y8" i="1"/>
  <c r="O54" i="1"/>
  <c r="O33" i="1"/>
  <c r="P27" i="1"/>
  <c r="P54" i="1"/>
  <c r="P57" i="1" s="1"/>
  <c r="P58" i="1" s="1"/>
  <c r="I33" i="1"/>
  <c r="I38" i="1" s="1"/>
  <c r="I114" i="5" s="1"/>
  <c r="I54" i="1"/>
  <c r="I57" i="1" s="1"/>
  <c r="I58" i="1" s="1"/>
  <c r="D38" i="1"/>
  <c r="D114" i="5" s="1"/>
  <c r="N36" i="1"/>
  <c r="L38" i="1"/>
  <c r="L114" i="5" s="1"/>
  <c r="I27" i="1"/>
  <c r="F41" i="1"/>
  <c r="F43" i="1" s="1"/>
  <c r="F36" i="1"/>
  <c r="K33" i="1"/>
  <c r="K27" i="1"/>
  <c r="C27" i="1"/>
  <c r="C33" i="1"/>
  <c r="O27" i="1"/>
  <c r="G33" i="1"/>
  <c r="G27" i="1"/>
  <c r="E27" i="1"/>
  <c r="E33" i="1"/>
  <c r="J33" i="1"/>
  <c r="J27" i="1"/>
  <c r="M27" i="1"/>
  <c r="M33" i="1"/>
  <c r="H33" i="1"/>
  <c r="H27" i="1"/>
  <c r="D11" i="7" l="1"/>
  <c r="D18" i="7"/>
  <c r="T15" i="10"/>
  <c r="F8" i="7"/>
  <c r="F9" i="7"/>
  <c r="V84" i="5"/>
  <c r="V77" i="5" s="1"/>
  <c r="V10" i="5" s="1"/>
  <c r="V26" i="10" s="1"/>
  <c r="U77" i="5"/>
  <c r="U10" i="5" s="1"/>
  <c r="U26" i="10" s="1"/>
  <c r="Q33" i="10"/>
  <c r="T26" i="10"/>
  <c r="O57" i="1"/>
  <c r="O58" i="1" s="1"/>
  <c r="T27" i="10"/>
  <c r="U27" i="10"/>
  <c r="W27" i="10"/>
  <c r="Y12" i="10"/>
  <c r="F24" i="7" s="1"/>
  <c r="U15" i="10"/>
  <c r="T32" i="5"/>
  <c r="S28" i="10"/>
  <c r="T13" i="5"/>
  <c r="V29" i="10" s="1"/>
  <c r="S29" i="10"/>
  <c r="T29" i="10" s="1"/>
  <c r="T35" i="5"/>
  <c r="S32" i="10"/>
  <c r="T38" i="10"/>
  <c r="E21" i="7" s="1"/>
  <c r="P49" i="10"/>
  <c r="P92" i="5" s="1"/>
  <c r="U29" i="10"/>
  <c r="W29" i="10"/>
  <c r="Q63" i="5"/>
  <c r="Q67" i="5" s="1"/>
  <c r="R63" i="5" s="1"/>
  <c r="R67" i="5" s="1"/>
  <c r="R28" i="10"/>
  <c r="U38" i="10"/>
  <c r="V88" i="5"/>
  <c r="U81" i="5"/>
  <c r="U35" i="5" s="1"/>
  <c r="U32" i="10" s="1"/>
  <c r="X69" i="5"/>
  <c r="X64" i="5" s="1"/>
  <c r="X36" i="10" s="1"/>
  <c r="X38" i="10" s="1"/>
  <c r="X49" i="10" s="1"/>
  <c r="X92" i="5" s="1"/>
  <c r="W64" i="5"/>
  <c r="W36" i="10" s="1"/>
  <c r="W38" i="10" s="1"/>
  <c r="W49" i="10" s="1"/>
  <c r="W92" i="5" s="1"/>
  <c r="V66" i="5"/>
  <c r="W71" i="5"/>
  <c r="N43" i="1"/>
  <c r="Y55" i="1"/>
  <c r="Y21" i="1"/>
  <c r="U86" i="5"/>
  <c r="T54" i="1"/>
  <c r="E18" i="7" s="1"/>
  <c r="I41" i="1"/>
  <c r="I43" i="1" s="1"/>
  <c r="I7" i="10"/>
  <c r="D41" i="1"/>
  <c r="D44" i="1" s="1"/>
  <c r="D7" i="10"/>
  <c r="L41" i="1"/>
  <c r="L44" i="1" s="1"/>
  <c r="L7" i="10"/>
  <c r="Y26" i="1"/>
  <c r="Y27" i="1" s="1"/>
  <c r="U27" i="1"/>
  <c r="U54" i="1"/>
  <c r="U57" i="1" s="1"/>
  <c r="U58" i="1" s="1"/>
  <c r="O38" i="1"/>
  <c r="O36" i="1"/>
  <c r="W84" i="5"/>
  <c r="I36" i="1"/>
  <c r="F44" i="1"/>
  <c r="C38" i="1"/>
  <c r="C36" i="1"/>
  <c r="K36" i="1"/>
  <c r="K38" i="1"/>
  <c r="E36" i="1"/>
  <c r="E38" i="1"/>
  <c r="E7" i="10" s="1"/>
  <c r="M38" i="1"/>
  <c r="M36" i="1"/>
  <c r="G36" i="1"/>
  <c r="G38" i="1"/>
  <c r="G114" i="5" s="1"/>
  <c r="H38" i="1"/>
  <c r="H114" i="5" s="1"/>
  <c r="H36" i="1"/>
  <c r="J36" i="1"/>
  <c r="J38" i="1"/>
  <c r="J7" i="10" s="1"/>
  <c r="D20" i="7" l="1"/>
  <c r="D31" i="7" s="1"/>
  <c r="D14" i="7"/>
  <c r="T49" i="10"/>
  <c r="T92" i="5" s="1"/>
  <c r="E22" i="7"/>
  <c r="E25" i="7"/>
  <c r="E11" i="7"/>
  <c r="Y15" i="10"/>
  <c r="V86" i="5"/>
  <c r="U79" i="5"/>
  <c r="U32" i="5" s="1"/>
  <c r="T28" i="10"/>
  <c r="J114" i="5"/>
  <c r="K7" i="10"/>
  <c r="K114" i="5"/>
  <c r="C114" i="5"/>
  <c r="E114" i="5" s="1"/>
  <c r="C113" i="5"/>
  <c r="T57" i="1"/>
  <c r="C25" i="6" s="1"/>
  <c r="M7" i="10"/>
  <c r="M114" i="5"/>
  <c r="U33" i="10"/>
  <c r="Y29" i="10"/>
  <c r="Y38" i="10"/>
  <c r="F21" i="7" s="1"/>
  <c r="U49" i="10"/>
  <c r="U92" i="5" s="1"/>
  <c r="Y27" i="10"/>
  <c r="Y36" i="10"/>
  <c r="Q18" i="5"/>
  <c r="Q21" i="5" s="1"/>
  <c r="Q25" i="5" s="1"/>
  <c r="S33" i="10"/>
  <c r="T32" i="10"/>
  <c r="T33" i="10" s="1"/>
  <c r="W88" i="5"/>
  <c r="V81" i="5"/>
  <c r="V35" i="5" s="1"/>
  <c r="V32" i="10" s="1"/>
  <c r="V33" i="10" s="1"/>
  <c r="X71" i="5"/>
  <c r="X66" i="5" s="1"/>
  <c r="W66" i="5"/>
  <c r="S63" i="5"/>
  <c r="S67" i="5" s="1"/>
  <c r="R18" i="5"/>
  <c r="R21" i="5" s="1"/>
  <c r="R25" i="5" s="1"/>
  <c r="I44" i="1"/>
  <c r="L43" i="1"/>
  <c r="D43" i="1"/>
  <c r="O41" i="1"/>
  <c r="O43" i="1" s="1"/>
  <c r="O7" i="10"/>
  <c r="C41" i="1"/>
  <c r="C44" i="1" s="1"/>
  <c r="C7" i="10"/>
  <c r="H41" i="1"/>
  <c r="H43" i="1" s="1"/>
  <c r="H7" i="10"/>
  <c r="G41" i="1"/>
  <c r="G44" i="1" s="1"/>
  <c r="G7" i="10"/>
  <c r="Y54" i="1"/>
  <c r="W86" i="5"/>
  <c r="V79" i="5"/>
  <c r="V32" i="5" s="1"/>
  <c r="X84" i="5"/>
  <c r="X77" i="5" s="1"/>
  <c r="X10" i="5" s="1"/>
  <c r="W77" i="5"/>
  <c r="W10" i="5" s="1"/>
  <c r="W26" i="10" s="1"/>
  <c r="K41" i="1"/>
  <c r="K44" i="1" s="1"/>
  <c r="M41" i="1"/>
  <c r="M43" i="1" s="1"/>
  <c r="J41" i="1"/>
  <c r="J43" i="1" s="1"/>
  <c r="E41" i="1"/>
  <c r="E44" i="1" s="1"/>
  <c r="E28" i="7" l="1"/>
  <c r="E26" i="7"/>
  <c r="E29" i="7"/>
  <c r="Y57" i="1"/>
  <c r="M11" i="7"/>
  <c r="F11" i="7"/>
  <c r="Y49" i="10"/>
  <c r="Y92" i="5" s="1"/>
  <c r="F22" i="7"/>
  <c r="E12" i="7"/>
  <c r="E13" i="7"/>
  <c r="E16" i="7"/>
  <c r="E20" i="7"/>
  <c r="E14" i="7"/>
  <c r="E15" i="7" s="1"/>
  <c r="T58" i="1"/>
  <c r="F25" i="7"/>
  <c r="O114" i="5"/>
  <c r="E113" i="5"/>
  <c r="C116" i="5"/>
  <c r="D113" i="5" s="1"/>
  <c r="D116" i="5" s="1"/>
  <c r="Y10" i="5"/>
  <c r="X26" i="10"/>
  <c r="V28" i="10"/>
  <c r="U28" i="10"/>
  <c r="X88" i="5"/>
  <c r="X81" i="5" s="1"/>
  <c r="X35" i="5" s="1"/>
  <c r="W81" i="5"/>
  <c r="W35" i="5" s="1"/>
  <c r="W32" i="10" s="1"/>
  <c r="W33" i="10" s="1"/>
  <c r="U63" i="5"/>
  <c r="U67" i="5" s="1"/>
  <c r="S18" i="5"/>
  <c r="H44" i="1"/>
  <c r="G43" i="1"/>
  <c r="C43" i="1"/>
  <c r="X86" i="5"/>
  <c r="X79" i="5" s="1"/>
  <c r="X32" i="5" s="1"/>
  <c r="W79" i="5"/>
  <c r="W32" i="5" s="1"/>
  <c r="K43" i="1"/>
  <c r="J44" i="1"/>
  <c r="O44" i="1"/>
  <c r="E43" i="1"/>
  <c r="M44" i="1"/>
  <c r="D25" i="6" l="1"/>
  <c r="D28" i="6" s="1"/>
  <c r="D30" i="6" s="1"/>
  <c r="D34" i="6" s="1"/>
  <c r="M9" i="7"/>
  <c r="M17" i="7" s="1"/>
  <c r="G9" i="8"/>
  <c r="G8" i="8"/>
  <c r="G7" i="8"/>
  <c r="G13" i="8" s="1"/>
  <c r="G12" i="8"/>
  <c r="G11" i="8"/>
  <c r="G10" i="8"/>
  <c r="V11" i="7"/>
  <c r="E31" i="7"/>
  <c r="F26" i="7"/>
  <c r="F13" i="7"/>
  <c r="F16" i="7"/>
  <c r="F12" i="7"/>
  <c r="F14" i="7"/>
  <c r="F15" i="7" s="1"/>
  <c r="F20" i="7"/>
  <c r="Y58" i="1"/>
  <c r="F113" i="5"/>
  <c r="E116" i="5"/>
  <c r="W28" i="10"/>
  <c r="Y26" i="10"/>
  <c r="T18" i="5"/>
  <c r="T21" i="5" s="1"/>
  <c r="T25" i="5" s="1"/>
  <c r="S21" i="5"/>
  <c r="S25" i="5" s="1"/>
  <c r="Y35" i="5"/>
  <c r="X32" i="10"/>
  <c r="X33" i="10" s="1"/>
  <c r="Y32" i="5"/>
  <c r="X28" i="10"/>
  <c r="U18" i="5"/>
  <c r="U21" i="5" s="1"/>
  <c r="U25" i="5" s="1"/>
  <c r="V63" i="5"/>
  <c r="V67" i="5" s="1"/>
  <c r="G12" i="3" l="1"/>
  <c r="D35" i="6"/>
  <c r="D36" i="6"/>
  <c r="G13" i="3" s="1"/>
  <c r="E32" i="7"/>
  <c r="F116" i="5"/>
  <c r="G113" i="5" s="1"/>
  <c r="G116" i="5" s="1"/>
  <c r="H113" i="5" s="1"/>
  <c r="H116" i="5" s="1"/>
  <c r="I113" i="5" s="1"/>
  <c r="I116" i="5" s="1"/>
  <c r="J113" i="5"/>
  <c r="Y32" i="10"/>
  <c r="Y28" i="10"/>
  <c r="W63" i="5"/>
  <c r="W67" i="5" s="1"/>
  <c r="V18" i="5"/>
  <c r="V21" i="5" s="1"/>
  <c r="V25" i="5" s="1"/>
  <c r="Y33" i="10" l="1"/>
  <c r="F28" i="7"/>
  <c r="F31" i="7" s="1"/>
  <c r="J116" i="5"/>
  <c r="K113" i="5"/>
  <c r="X63" i="5"/>
  <c r="X67" i="5" s="1"/>
  <c r="X18" i="5" s="1"/>
  <c r="W18" i="5"/>
  <c r="W21" i="5" s="1"/>
  <c r="W25" i="5" s="1"/>
  <c r="F29" i="7" l="1"/>
  <c r="F32" i="7"/>
  <c r="K116" i="5"/>
  <c r="L113" i="5" s="1"/>
  <c r="L116" i="5" s="1"/>
  <c r="M113" i="5" s="1"/>
  <c r="M116" i="5" s="1"/>
  <c r="N113" i="5" s="1"/>
  <c r="N116" i="5" s="1"/>
  <c r="O116" i="5" s="1"/>
  <c r="T113" i="5" s="1"/>
  <c r="O113" i="5"/>
  <c r="Y18" i="5"/>
  <c r="Y21" i="5" s="1"/>
  <c r="Y25" i="5" s="1"/>
  <c r="X21" i="5"/>
  <c r="X25" i="5" s="1"/>
  <c r="P103" i="5"/>
  <c r="Q99" i="5" l="1"/>
  <c r="Q29" i="1" s="1"/>
  <c r="P39" i="5"/>
  <c r="P46" i="5" s="1"/>
  <c r="P31" i="5"/>
  <c r="P36" i="5" s="1"/>
  <c r="P75" i="10"/>
  <c r="Q107" i="5" l="1"/>
  <c r="P48" i="5"/>
  <c r="P33" i="1"/>
  <c r="P38" i="1" l="1"/>
  <c r="P36" i="1"/>
  <c r="P114" i="5" l="1"/>
  <c r="P41" i="1"/>
  <c r="P7" i="10"/>
  <c r="P24" i="10" s="1"/>
  <c r="P34" i="10" s="1"/>
  <c r="P77" i="10" l="1"/>
  <c r="P8" i="5" s="1"/>
  <c r="P91" i="5"/>
  <c r="P93" i="5" s="1"/>
  <c r="P96" i="5" s="1"/>
  <c r="P105" i="5" s="1"/>
  <c r="P44" i="1"/>
  <c r="P43" i="1"/>
  <c r="P116" i="5"/>
  <c r="Q113" i="5" l="1"/>
  <c r="P52" i="5"/>
  <c r="P14" i="5"/>
  <c r="P27" i="5" s="1"/>
  <c r="P53" i="5" s="1"/>
  <c r="Q94" i="5"/>
  <c r="P54" i="5" l="1"/>
  <c r="P58" i="5" s="1"/>
  <c r="P60" i="5" s="1"/>
  <c r="Q75" i="10"/>
  <c r="Q103" i="5"/>
  <c r="R99" i="5" s="1"/>
  <c r="R29" i="1" s="1"/>
  <c r="R107" i="5" l="1"/>
  <c r="Q31" i="5"/>
  <c r="Q36" i="5" s="1"/>
  <c r="Q33" i="1"/>
  <c r="Q39" i="5"/>
  <c r="Q46" i="5" s="1"/>
  <c r="Q48" i="5" l="1"/>
  <c r="Q38" i="1"/>
  <c r="Q36" i="1"/>
  <c r="Q7" i="10" l="1"/>
  <c r="Q24" i="10" s="1"/>
  <c r="Q34" i="10" s="1"/>
  <c r="Q114" i="5"/>
  <c r="Q41" i="1"/>
  <c r="Q44" i="1" l="1"/>
  <c r="Q43" i="1"/>
  <c r="Q116" i="5"/>
  <c r="Q91" i="5"/>
  <c r="Q93" i="5" s="1"/>
  <c r="Q96" i="5" s="1"/>
  <c r="Q105" i="5" s="1"/>
  <c r="Q77" i="10"/>
  <c r="Q8" i="5" s="1"/>
  <c r="Q14" i="5" l="1"/>
  <c r="Q27" i="5" s="1"/>
  <c r="R94" i="5"/>
  <c r="Q52" i="5"/>
  <c r="R113" i="5"/>
  <c r="R75" i="10"/>
  <c r="R103" i="5"/>
  <c r="R31" i="5" s="1"/>
  <c r="R36" i="5" s="1"/>
  <c r="Q53" i="5" l="1"/>
  <c r="Q54" i="5" s="1"/>
  <c r="Q58" i="5" s="1"/>
  <c r="Q60" i="5" s="1"/>
  <c r="R33" i="1"/>
  <c r="S99" i="5"/>
  <c r="S29" i="1" s="1"/>
  <c r="T29" i="1" s="1"/>
  <c r="R39" i="5"/>
  <c r="R46" i="5" s="1"/>
  <c r="R48" i="5" s="1"/>
  <c r="S107" i="5" l="1"/>
  <c r="R36" i="1"/>
  <c r="R38" i="1"/>
  <c r="R41" i="1" l="1"/>
  <c r="R114" i="5"/>
  <c r="R7" i="10"/>
  <c r="R24" i="10" s="1"/>
  <c r="R34" i="10" s="1"/>
  <c r="R91" i="5" l="1"/>
  <c r="R93" i="5" s="1"/>
  <c r="R96" i="5" s="1"/>
  <c r="R105" i="5" s="1"/>
  <c r="R77" i="10"/>
  <c r="R8" i="5" s="1"/>
  <c r="R116" i="5"/>
  <c r="R43" i="1"/>
  <c r="R44" i="1"/>
  <c r="S113" i="5" l="1"/>
  <c r="R52" i="5"/>
  <c r="S94" i="5"/>
  <c r="R14" i="5"/>
  <c r="R27" i="5" s="1"/>
  <c r="R53" i="5" s="1"/>
  <c r="R54" i="5" l="1"/>
  <c r="R58" i="5" s="1"/>
  <c r="R60" i="5" s="1"/>
  <c r="T75" i="10"/>
  <c r="S75" i="10"/>
  <c r="S103" i="5"/>
  <c r="S31" i="5" l="1"/>
  <c r="T99" i="5"/>
  <c r="U99" i="5"/>
  <c r="U29" i="1" s="1"/>
  <c r="S39" i="5"/>
  <c r="S46" i="5" s="1"/>
  <c r="S33" i="1"/>
  <c r="T103" i="5" l="1"/>
  <c r="T39" i="5" s="1"/>
  <c r="T46" i="5" s="1"/>
  <c r="T107" i="5"/>
  <c r="S36" i="5"/>
  <c r="S48" i="5" s="1"/>
  <c r="T31" i="5"/>
  <c r="T36" i="5" s="1"/>
  <c r="T48" i="5" s="1"/>
  <c r="U107" i="5"/>
  <c r="T33" i="1"/>
  <c r="T36" i="1" s="1"/>
  <c r="S36" i="1"/>
  <c r="S38" i="1"/>
  <c r="T38" i="1" l="1"/>
  <c r="T7" i="10" s="1"/>
  <c r="T24" i="10" s="1"/>
  <c r="T34" i="10" s="1"/>
  <c r="S41" i="1"/>
  <c r="S114" i="5"/>
  <c r="S7" i="10"/>
  <c r="S24" i="10" s="1"/>
  <c r="S34" i="10" s="1"/>
  <c r="T41" i="1" l="1"/>
  <c r="T114" i="5"/>
  <c r="S116" i="5"/>
  <c r="T44" i="1"/>
  <c r="T43" i="1"/>
  <c r="S91" i="5"/>
  <c r="S93" i="5" s="1"/>
  <c r="S96" i="5" s="1"/>
  <c r="S105" i="5" s="1"/>
  <c r="T105" i="5" s="1"/>
  <c r="S77" i="10"/>
  <c r="S8" i="5" s="1"/>
  <c r="S44" i="1"/>
  <c r="S43" i="1"/>
  <c r="T91" i="5"/>
  <c r="T93" i="5" s="1"/>
  <c r="T96" i="5" s="1"/>
  <c r="T77" i="10"/>
  <c r="T116" i="5" l="1"/>
  <c r="T52" i="5" s="1"/>
  <c r="S52" i="5"/>
  <c r="U113" i="5"/>
  <c r="T8" i="5"/>
  <c r="S14" i="5"/>
  <c r="S27" i="5" s="1"/>
  <c r="S53" i="5" s="1"/>
  <c r="S54" i="5" l="1"/>
  <c r="S58" i="5" s="1"/>
  <c r="S60" i="5" s="1"/>
  <c r="Y94" i="5"/>
  <c r="T14" i="5"/>
  <c r="T27" i="5" s="1"/>
  <c r="T53" i="5" s="1"/>
  <c r="T54" i="5" s="1"/>
  <c r="T58" i="5" s="1"/>
  <c r="T60" i="5" s="1"/>
  <c r="U94" i="5"/>
  <c r="Y113" i="5"/>
  <c r="U75" i="10"/>
  <c r="U103" i="5"/>
  <c r="U31" i="5" s="1"/>
  <c r="U36" i="5" s="1"/>
  <c r="V99" i="5" l="1"/>
  <c r="V29" i="1" s="1"/>
  <c r="U33" i="1"/>
  <c r="U39" i="5"/>
  <c r="U46" i="5" s="1"/>
  <c r="U48" i="5" s="1"/>
  <c r="V107" i="5" l="1"/>
  <c r="U38" i="1"/>
  <c r="U36" i="1"/>
  <c r="U114" i="5" l="1"/>
  <c r="U7" i="10"/>
  <c r="U24" i="10" s="1"/>
  <c r="U34" i="10" s="1"/>
  <c r="U41" i="1"/>
  <c r="U43" i="1" l="1"/>
  <c r="U44" i="1"/>
  <c r="U77" i="10"/>
  <c r="U8" i="5" s="1"/>
  <c r="U91" i="5"/>
  <c r="U93" i="5" s="1"/>
  <c r="U96" i="5" s="1"/>
  <c r="U105" i="5" s="1"/>
  <c r="U116" i="5"/>
  <c r="V113" i="5" l="1"/>
  <c r="U52" i="5"/>
  <c r="V94" i="5"/>
  <c r="U14" i="5"/>
  <c r="U27" i="5" s="1"/>
  <c r="U53" i="5" s="1"/>
  <c r="U54" i="5" l="1"/>
  <c r="U58" i="5" s="1"/>
  <c r="U60" i="5" s="1"/>
  <c r="V75" i="10"/>
  <c r="V103" i="5"/>
  <c r="V39" i="5" s="1"/>
  <c r="V46" i="5" s="1"/>
  <c r="V31" i="5"/>
  <c r="V36" i="5" s="1"/>
  <c r="V48" i="5" l="1"/>
  <c r="W99" i="5"/>
  <c r="W29" i="1" s="1"/>
  <c r="V33" i="1"/>
  <c r="W107" i="5" l="1"/>
  <c r="V38" i="1"/>
  <c r="V36" i="1"/>
  <c r="V41" i="1" l="1"/>
  <c r="V7" i="10"/>
  <c r="V24" i="10" s="1"/>
  <c r="V34" i="10" s="1"/>
  <c r="V114" i="5"/>
  <c r="V116" i="5" l="1"/>
  <c r="V77" i="10"/>
  <c r="V8" i="5" s="1"/>
  <c r="V91" i="5"/>
  <c r="V93" i="5" s="1"/>
  <c r="V96" i="5" s="1"/>
  <c r="V105" i="5" s="1"/>
  <c r="V43" i="1"/>
  <c r="V44" i="1"/>
  <c r="W94" i="5" l="1"/>
  <c r="V14" i="5"/>
  <c r="V27" i="5" s="1"/>
  <c r="W113" i="5"/>
  <c r="V52" i="5"/>
  <c r="W75" i="10"/>
  <c r="W103" i="5"/>
  <c r="X99" i="5" s="1"/>
  <c r="X29" i="1" s="1"/>
  <c r="Y29" i="1" s="1"/>
  <c r="V53" i="5" l="1"/>
  <c r="V54" i="5" s="1"/>
  <c r="V58" i="5" s="1"/>
  <c r="V60" i="5" s="1"/>
  <c r="X107" i="5"/>
  <c r="W39" i="5"/>
  <c r="W46" i="5" s="1"/>
  <c r="W31" i="5"/>
  <c r="W36" i="5" s="1"/>
  <c r="W48" i="5" l="1"/>
  <c r="W33" i="1"/>
  <c r="W36" i="1" l="1"/>
  <c r="W38" i="1"/>
  <c r="W114" i="5" l="1"/>
  <c r="W41" i="1"/>
  <c r="W7" i="10"/>
  <c r="W24" i="10" s="1"/>
  <c r="W34" i="10" s="1"/>
  <c r="W91" i="5" l="1"/>
  <c r="W93" i="5" s="1"/>
  <c r="W96" i="5" s="1"/>
  <c r="W105" i="5" s="1"/>
  <c r="W77" i="10"/>
  <c r="W8" i="5" s="1"/>
  <c r="W44" i="1"/>
  <c r="W43" i="1"/>
  <c r="W116" i="5"/>
  <c r="W14" i="5" l="1"/>
  <c r="W27" i="5" s="1"/>
  <c r="X94" i="5"/>
  <c r="W52" i="5"/>
  <c r="X113" i="5"/>
  <c r="Y75" i="10"/>
  <c r="X75" i="10"/>
  <c r="X103" i="5"/>
  <c r="X39" i="5" l="1"/>
  <c r="X46" i="5" s="1"/>
  <c r="Y99" i="5"/>
  <c r="W53" i="5"/>
  <c r="W54" i="5" s="1"/>
  <c r="W58" i="5" s="1"/>
  <c r="W60" i="5" s="1"/>
  <c r="X31" i="5"/>
  <c r="X33" i="1"/>
  <c r="X38" i="1" s="1"/>
  <c r="X41" i="1" s="1"/>
  <c r="X7" i="10" l="1"/>
  <c r="X24" i="10" s="1"/>
  <c r="X34" i="10" s="1"/>
  <c r="X91" i="5" s="1"/>
  <c r="X93" i="5" s="1"/>
  <c r="X96" i="5" s="1"/>
  <c r="X105" i="5" s="1"/>
  <c r="Y105" i="5" s="1"/>
  <c r="X114" i="5"/>
  <c r="X116" i="5" s="1"/>
  <c r="X36" i="5"/>
  <c r="X48" i="5" s="1"/>
  <c r="Y31" i="5"/>
  <c r="Y103" i="5"/>
  <c r="Y39" i="5" s="1"/>
  <c r="Y46" i="5" s="1"/>
  <c r="Y107" i="5"/>
  <c r="X36" i="1"/>
  <c r="X44" i="1"/>
  <c r="X43" i="1"/>
  <c r="Y114" i="5" l="1"/>
  <c r="X77" i="10"/>
  <c r="X8" i="5" s="1"/>
  <c r="Y8" i="5" s="1"/>
  <c r="Y33" i="1"/>
  <c r="Y36" i="5"/>
  <c r="Y48" i="5" s="1"/>
  <c r="Y116" i="5"/>
  <c r="Y52" i="5" s="1"/>
  <c r="X52" i="5"/>
  <c r="Y14" i="5" l="1"/>
  <c r="Y27" i="5" s="1"/>
  <c r="M21" i="7"/>
  <c r="X14" i="5"/>
  <c r="X27" i="5" s="1"/>
  <c r="X53" i="5" s="1"/>
  <c r="X54" i="5" s="1"/>
  <c r="X58" i="5" s="1"/>
  <c r="X60" i="5" s="1"/>
  <c r="Y53" i="5"/>
  <c r="Y54" i="5" s="1"/>
  <c r="G23" i="8" s="1"/>
  <c r="G26" i="8" s="1"/>
  <c r="Q13" i="7" s="1"/>
  <c r="Y36" i="1"/>
  <c r="Y38" i="1"/>
  <c r="M37" i="7" l="1"/>
  <c r="D15" i="3"/>
  <c r="D16" i="3" s="1"/>
  <c r="Y58" i="5"/>
  <c r="Y60" i="5" s="1"/>
  <c r="Q16" i="7"/>
  <c r="Q11" i="7" s="1"/>
  <c r="Y41" i="1"/>
  <c r="Y7" i="10"/>
  <c r="Y24" i="10" s="1"/>
  <c r="Y34" i="10" s="1"/>
  <c r="M12" i="7" l="1"/>
  <c r="M33" i="7"/>
  <c r="Y91" i="5"/>
  <c r="Y93" i="5" s="1"/>
  <c r="Y96" i="5" s="1"/>
  <c r="Y77" i="10"/>
  <c r="Y43" i="1"/>
  <c r="Y44" i="1"/>
  <c r="D34" i="7" l="1"/>
  <c r="D36" i="7" s="1"/>
  <c r="E34" i="7"/>
  <c r="E36" i="7" s="1"/>
  <c r="F34" i="7"/>
  <c r="F36" i="7" s="1"/>
  <c r="M18" i="7" l="1"/>
  <c r="M32" i="7"/>
  <c r="M16" i="7"/>
  <c r="M20" i="7" s="1"/>
  <c r="M23" i="7" s="1"/>
  <c r="M26" i="7" s="1"/>
  <c r="M34" i="7"/>
  <c r="M28" i="7" l="1"/>
  <c r="G11" i="3" s="1"/>
  <c r="G10" i="3"/>
  <c r="G14" i="3" s="1"/>
  <c r="G15" i="3" s="1"/>
  <c r="M36" i="7"/>
  <c r="M39" i="7" s="1"/>
  <c r="M42" i="7" s="1"/>
  <c r="M44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Tegus (GK)</author>
    <author>Tegus (AkS)</author>
    <author>Tegus (AS)</author>
  </authors>
  <commentList>
    <comment ref="C46" authorId="0" shapeId="0" xr:uid="{4C135826-9C5C-824D-8F5E-5273E16C7244}">
      <text>
        <r>
          <rPr>
            <b/>
            <sz val="9"/>
            <color rgb="FF000000"/>
            <rFont val="Tahoma"/>
            <family val="2"/>
          </rPr>
          <t>Tegus (GK):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As reported in DRS/A dated 02/09/24</t>
        </r>
      </text>
    </comment>
    <comment ref="D46" authorId="0" shapeId="0" xr:uid="{4A4E7897-49E4-5E40-92D4-D6D0604EEC77}">
      <text>
        <r>
          <rPr>
            <b/>
            <sz val="9"/>
            <color rgb="FF000000"/>
            <rFont val="Tahoma"/>
            <family val="2"/>
          </rPr>
          <t>Tegus (GK):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Backed out</t>
        </r>
      </text>
    </comment>
    <comment ref="E46" authorId="1" shapeId="0" xr:uid="{8AEF8663-526F-C34F-A16B-36B22040953F}">
      <text>
        <r>
          <rPr>
            <b/>
            <sz val="9"/>
            <color rgb="FF000000"/>
            <rFont val="Tahoma"/>
            <family val="2"/>
          </rPr>
          <t>Tegus (AkS):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Assumed equal to May 18 through December 31, 2023.</t>
        </r>
      </text>
    </comment>
    <comment ref="N46" authorId="2" shapeId="0" xr:uid="{0D6A0668-6573-524B-9ACE-272F03C5D9D5}">
      <text>
        <r>
          <rPr>
            <b/>
            <sz val="9"/>
            <color rgb="FF000000"/>
            <rFont val="Tahoma"/>
            <family val="2"/>
            <charset val="1"/>
          </rPr>
          <t>Tegus (AS):</t>
        </r>
        <r>
          <rPr>
            <sz val="9"/>
            <color rgb="FF000000"/>
            <rFont val="Tahoma"/>
            <family val="2"/>
            <charset val="1"/>
          </rPr>
          <t xml:space="preserve">
</t>
        </r>
        <r>
          <rPr>
            <sz val="9"/>
            <color rgb="FF000000"/>
            <rFont val="Tahoma"/>
            <family val="2"/>
            <charset val="1"/>
          </rPr>
          <t>Formula altered</t>
        </r>
      </text>
    </comment>
    <comment ref="C49" authorId="0" shapeId="0" xr:uid="{D6F7AE7B-8258-3047-9589-B6E704EEB26B}">
      <text>
        <r>
          <rPr>
            <b/>
            <sz val="9"/>
            <rFont val="Tahoma"/>
            <family val="2"/>
          </rPr>
          <t>Tegus (GK):</t>
        </r>
        <r>
          <rPr>
            <sz val="9"/>
            <rFont val="Tahoma"/>
            <family val="2"/>
          </rPr>
          <t xml:space="preserve">
As reported in DRS/A dated 02/09/24</t>
        </r>
      </text>
    </comment>
    <comment ref="D49" authorId="0" shapeId="0" xr:uid="{F736F447-3726-4C40-BC91-7CC597E58F42}">
      <text>
        <r>
          <rPr>
            <b/>
            <sz val="9"/>
            <rFont val="Tahoma"/>
            <family val="2"/>
          </rPr>
          <t>Tegus (GK):</t>
        </r>
        <r>
          <rPr>
            <sz val="9"/>
            <rFont val="Tahoma"/>
            <family val="2"/>
          </rPr>
          <t xml:space="preserve">
Backed out</t>
        </r>
      </text>
    </comment>
    <comment ref="E49" authorId="1" shapeId="0" xr:uid="{751FE213-A49D-634F-8877-F758D222500F}">
      <text>
        <r>
          <rPr>
            <b/>
            <sz val="9"/>
            <color rgb="FF000000"/>
            <rFont val="Tahoma"/>
            <family val="2"/>
          </rPr>
          <t>Tegus (AkS):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Assumed equal to May 18 through December 31, 2023.</t>
        </r>
      </text>
    </comment>
  </commentList>
</comments>
</file>

<file path=xl/sharedStrings.xml><?xml version="1.0" encoding="utf-8"?>
<sst xmlns="http://schemas.openxmlformats.org/spreadsheetml/2006/main" count="875" uniqueCount="687">
  <si>
    <t>Company Name</t>
  </si>
  <si>
    <t>Talen Energy Corp</t>
  </si>
  <si>
    <t>Valuation</t>
  </si>
  <si>
    <t>Ticker</t>
  </si>
  <si>
    <t>NASDAQ: TLN</t>
  </si>
  <si>
    <t>DCF PT</t>
  </si>
  <si>
    <t>Stock Price</t>
  </si>
  <si>
    <t>$347.74</t>
  </si>
  <si>
    <t>MoS, %</t>
  </si>
  <si>
    <t>Date</t>
  </si>
  <si>
    <t>26 Multiples PT</t>
  </si>
  <si>
    <t>Capitalization Table</t>
  </si>
  <si>
    <t>% IRR</t>
  </si>
  <si>
    <t>Market Cap</t>
  </si>
  <si>
    <t>Blended PT</t>
  </si>
  <si>
    <t>(+) Net Debt</t>
  </si>
  <si>
    <t>Enterprise Value</t>
  </si>
  <si>
    <t>FDSO</t>
  </si>
  <si>
    <t>Talen Energy Corp. (TLN)</t>
  </si>
  <si>
    <t>Revenue Build ($mm unless noted otherwise)</t>
  </si>
  <si>
    <t>Q3-2023</t>
  </si>
  <si>
    <t>Q4-2023</t>
  </si>
  <si>
    <t>FY2023A</t>
  </si>
  <si>
    <t>Q1-2024</t>
  </si>
  <si>
    <t>Q2-2024</t>
  </si>
  <si>
    <t>Q3-2024</t>
  </si>
  <si>
    <t>Q4-2024</t>
  </si>
  <si>
    <t>FY2024A</t>
  </si>
  <si>
    <t>Q1-2025</t>
  </si>
  <si>
    <t>Q2-2025</t>
  </si>
  <si>
    <t>Q3-2025</t>
  </si>
  <si>
    <t>Q4-2025</t>
  </si>
  <si>
    <t>FY2025A</t>
  </si>
  <si>
    <t>Q1-2026</t>
  </si>
  <si>
    <t>Q2-2026</t>
  </si>
  <si>
    <t>Q3-2026</t>
  </si>
  <si>
    <t>Q4-2026</t>
  </si>
  <si>
    <t>FY2026A</t>
  </si>
  <si>
    <t>Q1-2027</t>
  </si>
  <si>
    <t>Q2-2027</t>
  </si>
  <si>
    <t>Q3-2027</t>
  </si>
  <si>
    <t>Q4-2027</t>
  </si>
  <si>
    <t>FY2027A</t>
  </si>
  <si>
    <t xml:space="preserve">SCENARIO (toggle between Bull, Bear, Base) --&gt; </t>
  </si>
  <si>
    <t>Base</t>
  </si>
  <si>
    <t>ENERGY AND OTHER REVENUE</t>
  </si>
  <si>
    <t>Total Energy and Other Revenues, mm</t>
  </si>
  <si>
    <t>Y/Y  Growth, %</t>
  </si>
  <si>
    <t>% of Total Revenue</t>
  </si>
  <si>
    <t>Nuclear Energy Revenue</t>
  </si>
  <si>
    <t>AWS PPA Revenue</t>
  </si>
  <si>
    <t>MW Contracted (capacity ramp schedule)</t>
  </si>
  <si>
    <t>AWS PPA went live in June 2025. Q2'25 = ~1 month (320 MW). Full 960 MW Q3'25. Ramp to 1,900 MW in 2026. Annual numbers = avg MW across quarters.</t>
  </si>
  <si>
    <t>Capacity Factor, %</t>
  </si>
  <si>
    <t>Susquehanna historical CF = 92%, already accounts for outages on average across the whole year</t>
  </si>
  <si>
    <t>MWh Generated (TWh)</t>
  </si>
  <si>
    <t>Caluclation is done using the equation in the image at the bottom, but I just divided the hours by 4 because I split into quarterly</t>
  </si>
  <si>
    <t>Implied Revenue per MWh</t>
  </si>
  <si>
    <t>Implied $64/MWh because the deal is worth $18B, then divide by 17yr conract and account of change in units</t>
  </si>
  <si>
    <t>Merchant Nuclear Revenue</t>
  </si>
  <si>
    <t>Same rationale for the calculation as seen in line 22 (but times the price to get revenue)</t>
  </si>
  <si>
    <t>MW Available (Susquehanna Total - AWS Contract)</t>
  </si>
  <si>
    <t>Merchant MW = (2,500 × 92% CF) − AWS contracted MW. ~400 MW available at full AWS ramp (vs 600 MW without CF adjustment).</t>
  </si>
  <si>
    <t>Same rationale for the CF as seen in line 21</t>
  </si>
  <si>
    <r>
      <t xml:space="preserve">Spot Price Assumption </t>
    </r>
    <r>
      <rPr>
        <i/>
        <sz val="12"/>
        <color theme="1"/>
        <rFont val="Garamond"/>
        <family val="1"/>
      </rPr>
      <t>(toggles with assumption)</t>
    </r>
    <r>
      <rPr>
        <sz val="12"/>
        <color theme="1"/>
        <rFont val="Garamond"/>
        <family val="1"/>
      </rPr>
      <t xml:space="preserve"> </t>
    </r>
  </si>
  <si>
    <t>Toggled base on bear, base, bull case as seen in Revenue Build Toggles sheet</t>
  </si>
  <si>
    <t>Another Hyperscaler Revenue</t>
  </si>
  <si>
    <r>
      <t xml:space="preserve">Probability of Deal, % </t>
    </r>
    <r>
      <rPr>
        <i/>
        <sz val="12"/>
        <color theme="1"/>
        <rFont val="Garamond"/>
        <family val="1"/>
      </rPr>
      <t>(toggles with assumption)</t>
    </r>
    <r>
      <rPr>
        <sz val="12"/>
        <color theme="1"/>
        <rFont val="Garamond"/>
        <family val="1"/>
      </rPr>
      <t xml:space="preserve"> </t>
    </r>
  </si>
  <si>
    <t>MW if Signed</t>
  </si>
  <si>
    <r>
      <t xml:space="preserve">Since there is only 400 MW left until fulfilling the CF, it can all </t>
    </r>
    <r>
      <rPr>
        <i/>
        <sz val="12"/>
        <color theme="1"/>
        <rFont val="Garamond"/>
        <family val="1"/>
      </rPr>
      <t xml:space="preserve">theoretically </t>
    </r>
    <r>
      <rPr>
        <sz val="12"/>
        <color theme="1"/>
        <rFont val="Garamond"/>
        <family val="1"/>
      </rPr>
      <t>be used if another deal was to get signed</t>
    </r>
  </si>
  <si>
    <t>Revenue per MWh ($/MWh)</t>
  </si>
  <si>
    <t>Natural Gas/Coal Energy Revenue</t>
  </si>
  <si>
    <t>Cornerstone acqusition will be competed in the 3rd quarter of 2026, so revenue from these should increase. The 10% is striaght line as consensus</t>
  </si>
  <si>
    <t xml:space="preserve">CAPACITY REVENUE </t>
  </si>
  <si>
    <t>Capacity Revenues, mm</t>
  </si>
  <si>
    <t>Was orignially going to do capacity revenue growth rate consensus, but these prices have already been decided so I just backlogged into the actual revenue TLN should be getting each Q</t>
  </si>
  <si>
    <t>DERIVATIVE INSTRUMENTS</t>
  </si>
  <si>
    <t>Unrealized Gain (Loss) Income on Derivative Investments, mm</t>
  </si>
  <si>
    <t>Consensus hardcoded</t>
  </si>
  <si>
    <t>Y/Y Growth, %</t>
  </si>
  <si>
    <t>Total Revenue</t>
  </si>
  <si>
    <t>Revenue Build Assumptions</t>
  </si>
  <si>
    <t xml:space="preserve">Assumption </t>
  </si>
  <si>
    <t>Scenario</t>
  </si>
  <si>
    <t>2026E</t>
  </si>
  <si>
    <t>2027E</t>
  </si>
  <si>
    <t>Rationale</t>
  </si>
  <si>
    <t>Merchant Nuclear Spot Price ($/MWh)</t>
  </si>
  <si>
    <t>Bear</t>
  </si>
  <si>
    <r>
      <rPr>
        <b/>
        <sz val="12"/>
        <color theme="1"/>
        <rFont val="Garamond"/>
        <family val="1"/>
      </rPr>
      <t>Bear:</t>
    </r>
    <r>
      <rPr>
        <sz val="12"/>
        <color theme="1"/>
        <rFont val="Garamond"/>
        <family val="1"/>
      </rPr>
      <t xml:space="preserve"> Mild weather + abundant gas supply keeps PJM energy prices suppressed; assuming there is also no material demand shock</t>
    </r>
  </si>
  <si>
    <r>
      <rPr>
        <b/>
        <sz val="12"/>
        <color theme="1"/>
        <rFont val="Garamond"/>
        <family val="1"/>
      </rPr>
      <t>Base:</t>
    </r>
    <r>
      <rPr>
        <sz val="12"/>
        <color theme="1"/>
        <rFont val="Garamond"/>
        <family val="1"/>
      </rPr>
      <t xml:space="preserve"> Historical PJM Western Hub averages; moderate AI data center load growth priced in (basically just following current trends)</t>
    </r>
  </si>
  <si>
    <t>Bull</t>
  </si>
  <si>
    <r>
      <rPr>
        <b/>
        <sz val="12"/>
        <color theme="1"/>
        <rFont val="Garamond"/>
        <family val="1"/>
      </rPr>
      <t>Bull:</t>
    </r>
    <r>
      <rPr>
        <sz val="12"/>
        <color theme="1"/>
        <rFont val="Garamond"/>
        <family val="1"/>
      </rPr>
      <t xml:space="preserve"> Assuming there is a hotter summer/colder winter + AI data center demand surges PJM supply by more; gas prices elevated</t>
    </r>
  </si>
  <si>
    <t>Second Hyperscaler Probability</t>
  </si>
  <si>
    <r>
      <rPr>
        <b/>
        <sz val="12"/>
        <color theme="1"/>
        <rFont val="Garamond"/>
        <family val="1"/>
      </rPr>
      <t>Bear:</t>
    </r>
    <r>
      <rPr>
        <sz val="12"/>
        <color theme="1"/>
        <rFont val="Garamond"/>
        <family val="1"/>
      </rPr>
      <t xml:space="preserve"> 2026E: No deal signed; market views AWS as one-off deal; regulatory timeline still uncertain. 2027E: Small probability one smaller deal closes after 2+ years of demonstrated AWS performance</t>
    </r>
  </si>
  <si>
    <r>
      <rPr>
        <b/>
        <sz val="12"/>
        <color theme="1"/>
        <rFont val="Garamond"/>
        <family val="1"/>
      </rPr>
      <t>Base:</t>
    </r>
    <r>
      <rPr>
        <sz val="12"/>
        <color theme="1"/>
        <rFont val="Garamond"/>
        <family val="1"/>
      </rPr>
      <t xml:space="preserve"> 2026E: Active negotiation for a deal; NRC/FERC approval + Constellation fully committed nuclear capacity de-risks the pipeline. 2027E: A 2-year window gives adequate runway; hyperscaler urgency grows with AI capex expansion</t>
    </r>
  </si>
  <si>
    <r>
      <rPr>
        <b/>
        <sz val="12"/>
        <color theme="1"/>
        <rFont val="Garamond"/>
        <family val="1"/>
      </rPr>
      <t xml:space="preserve">Bull: </t>
    </r>
    <r>
      <rPr>
        <sz val="12"/>
        <color theme="1"/>
        <rFont val="Garamond"/>
        <family val="1"/>
      </rPr>
      <t>2026E: Hopefully a deal announced; hyperscalers will be competing for Talen's remaining ~400 MW merchant capacity. 2027E: Deal confirmed + second deal in pipeline; Talen template now standard industry practice</t>
    </r>
  </si>
  <si>
    <t>Income Statement ($mm unless noted otherwise)</t>
  </si>
  <si>
    <t>Y/Y Total Revenue growth, %</t>
  </si>
  <si>
    <t>Cost of Goods Sold</t>
  </si>
  <si>
    <t>Gross Profit</t>
  </si>
  <si>
    <t>Gross Margin, %</t>
  </si>
  <si>
    <t>AWS nuclear PPA scales at ~85% gross margin, so the overall gross margin should be higher than consenus as this contracted revenue dominates the mix</t>
  </si>
  <si>
    <t>Operational Expenses</t>
  </si>
  <si>
    <t>Contracted nuclear revenue can increase at near-zero marginal operating cost (there is fixed O&amp;M) and if seen across a growing revenue, it would proportinally decrease OpEx</t>
  </si>
  <si>
    <t>General &amp; Administrative</t>
  </si>
  <si>
    <t>consensus projections</t>
  </si>
  <si>
    <t>Depreciation &amp; Amortization</t>
  </si>
  <si>
    <t>Other Operating Income /(expense)</t>
  </si>
  <si>
    <t>Operating Income (EBIT)</t>
  </si>
  <si>
    <t>Operating Margin, %</t>
  </si>
  <si>
    <t>Net Interest Expense / (income)</t>
  </si>
  <si>
    <t>flows through statements</t>
  </si>
  <si>
    <t>Other Income</t>
  </si>
  <si>
    <t>consensus hardcoded</t>
  </si>
  <si>
    <t>Pre-tax Income</t>
  </si>
  <si>
    <t>Provision / (benefit) for Income Taxes</t>
  </si>
  <si>
    <t>Tax Rate, %</t>
  </si>
  <si>
    <t>Net Income (Loss)</t>
  </si>
  <si>
    <t xml:space="preserve">Net Income to NCI </t>
  </si>
  <si>
    <t>Net Income (Loss)  to Common Shareholders</t>
  </si>
  <si>
    <t>EPS (Basic), $</t>
  </si>
  <si>
    <t>EPS (Diluted), $</t>
  </si>
  <si>
    <t>Basic Weighted Average Shares</t>
  </si>
  <si>
    <t>Diluted Weighted Average Shares</t>
  </si>
  <si>
    <t xml:space="preserve">EBIT </t>
  </si>
  <si>
    <t>Add back: D&amp;A</t>
  </si>
  <si>
    <t>EBITDA</t>
  </si>
  <si>
    <t>Balance Sheet ($mm unless noted otherwise)</t>
  </si>
  <si>
    <t>Current Assets</t>
  </si>
  <si>
    <t>Cash and Cash Equivalents</t>
  </si>
  <si>
    <t>Restricted Cash and Cash Equivalents</t>
  </si>
  <si>
    <t>Accounts Receivable, Net</t>
  </si>
  <si>
    <t>Inventory</t>
  </si>
  <si>
    <t>Derivative Instruments</t>
  </si>
  <si>
    <t>Other Current Assets</t>
  </si>
  <si>
    <t xml:space="preserve">Total Current Assets </t>
  </si>
  <si>
    <t>Non-Current Assets</t>
  </si>
  <si>
    <t>Total Intangible assets</t>
  </si>
  <si>
    <t>Property, plant and equipment exc. Intangibles, nuclear fuel and CWIP</t>
  </si>
  <si>
    <t>Construction work in progress</t>
  </si>
  <si>
    <t>Nuclear fuel</t>
  </si>
  <si>
    <t>Property, Plant, and Equipment</t>
  </si>
  <si>
    <t>Nuclear Decomissioning Trust Funds</t>
  </si>
  <si>
    <t>Other Non-Current Assets</t>
  </si>
  <si>
    <t>Total Non-Current Assets</t>
  </si>
  <si>
    <t>Total Assets</t>
  </si>
  <si>
    <t>Current Liabilities</t>
  </si>
  <si>
    <t>Long Term Debt, due within a year</t>
  </si>
  <si>
    <t>Accrued Interest</t>
  </si>
  <si>
    <t>Account Payable and Other Accrued Liabilities</t>
  </si>
  <si>
    <t>Stock-Based Compensation Liabilities</t>
  </si>
  <si>
    <t>Other Current Liabilities</t>
  </si>
  <si>
    <t>Total Current Liabilities</t>
  </si>
  <si>
    <t>Non-Current Liabilites</t>
  </si>
  <si>
    <t>Long Term Debt</t>
  </si>
  <si>
    <t>Post-Retirement Benefit Obligations</t>
  </si>
  <si>
    <t>Asset Retirement Obligations and Accrued Environmental Costs</t>
  </si>
  <si>
    <t>Deferred Income Taxes</t>
  </si>
  <si>
    <t>Acquired Fuel Supply Contract Liabilities</t>
  </si>
  <si>
    <t>Other Non-Current Liabilites</t>
  </si>
  <si>
    <t>Total Non-Current Liabilities</t>
  </si>
  <si>
    <t>Total Liabilities</t>
  </si>
  <si>
    <t>Shareholder's Equity</t>
  </si>
  <si>
    <t xml:space="preserve">Additional Paid in Capital </t>
  </si>
  <si>
    <t>Accumulated Retained Earnings</t>
  </si>
  <si>
    <t>Accumulated Other Comprehensive Income</t>
  </si>
  <si>
    <t>Total Shareholder's Equity</t>
  </si>
  <si>
    <t>Non-Controlling Interest</t>
  </si>
  <si>
    <t>Total Liabilites &amp; Shareholder's Equity</t>
  </si>
  <si>
    <t>Balance Check</t>
  </si>
  <si>
    <t>PP&amp;E Schedule</t>
  </si>
  <si>
    <t>Beginning PP&amp;E</t>
  </si>
  <si>
    <t>(+) CapEx</t>
  </si>
  <si>
    <t>(-) Depreciation</t>
  </si>
  <si>
    <t>(+) Other net additions to PP&amp;E</t>
  </si>
  <si>
    <t xml:space="preserve">Ending PP&amp;E (net) </t>
  </si>
  <si>
    <t>CapEx % of Revenue</t>
  </si>
  <si>
    <t>made basically the average of last 4 quarters and flatlined</t>
  </si>
  <si>
    <t>Depreciation % of Revenue</t>
  </si>
  <si>
    <t>Net Additions % of Revenue</t>
  </si>
  <si>
    <t>took avergae of the normal last 3 quarters (q42025 seems to be an outlier to excluded that one)</t>
  </si>
  <si>
    <t xml:space="preserve">Operating Working Capital </t>
  </si>
  <si>
    <t>Revenue</t>
  </si>
  <si>
    <t>COGS</t>
  </si>
  <si>
    <t>Accounts Receivable</t>
  </si>
  <si>
    <t>Accounts Payable</t>
  </si>
  <si>
    <t>Other Current Liabilties</t>
  </si>
  <si>
    <t xml:space="preserve">Days Receivable </t>
  </si>
  <si>
    <t>Days Inventory</t>
  </si>
  <si>
    <t>Days Payable</t>
  </si>
  <si>
    <t>Other Current Assets as a % of Revenue</t>
  </si>
  <si>
    <t>made basically the average of last 4 quarters and flatlined, also projected to decrease a little due to some collateral that skewed the model</t>
  </si>
  <si>
    <t>Other Current Liabilities as a % of Revenue</t>
  </si>
  <si>
    <t>Debt Schedule</t>
  </si>
  <si>
    <t>(+) Cash flow from operations</t>
  </si>
  <si>
    <t>(+) Cash flow from investing</t>
  </si>
  <si>
    <t>TLN doesn't give out dividends so I just removed that line beneath it</t>
  </si>
  <si>
    <t>Cash flow generated to service debt</t>
  </si>
  <si>
    <t>(+) Beginning cash balance</t>
  </si>
  <si>
    <t>(-) Minimum cash required</t>
  </si>
  <si>
    <t>Cash available to service debt</t>
  </si>
  <si>
    <t>Beginning balance</t>
  </si>
  <si>
    <t>(+) Issuance</t>
  </si>
  <si>
    <t>conservatism --&gt; process learned in class</t>
  </si>
  <si>
    <t>(-) Mandatory repayments</t>
  </si>
  <si>
    <t>(-) Optional repayments (sweep)</t>
  </si>
  <si>
    <t>Ending balance</t>
  </si>
  <si>
    <t>Surplus cash / (Revolver draw)</t>
  </si>
  <si>
    <t>Average debt balance</t>
  </si>
  <si>
    <t>Weighted avg interest rate</t>
  </si>
  <si>
    <t>Minimum cash as % of sales</t>
  </si>
  <si>
    <t>searched up what is best minimum cash as % of revenue for TLN and sais somehwere between 2% and 4%, so I took the average of that</t>
  </si>
  <si>
    <t>Equity &amp; Retained Earnings Schedule</t>
  </si>
  <si>
    <t>Retained Earnings Roll-forward</t>
  </si>
  <si>
    <t>(+) Net Income</t>
  </si>
  <si>
    <t>(-) Dividends</t>
  </si>
  <si>
    <t>Ending Retained Earnings</t>
  </si>
  <si>
    <t>APIC / Common Stock Roll-forward</t>
  </si>
  <si>
    <t>(+) Stock-based compensation</t>
  </si>
  <si>
    <t>(+) Stock issuance / (-) Repurchases</t>
  </si>
  <si>
    <t>Ending APIC</t>
  </si>
  <si>
    <t>Cash Flow Statement ($mm unless noted otherwise)</t>
  </si>
  <si>
    <t>Net Income</t>
  </si>
  <si>
    <t>Stock-based compensation</t>
  </si>
  <si>
    <t>(Gain) loss on sales of assets, net</t>
  </si>
  <si>
    <t>(Gain) loss on Cumulus Data Center Campus sale and ERCOT sale</t>
  </si>
  <si>
    <t>Depreciation Expense, mm</t>
  </si>
  <si>
    <t>Amortization Expense, mm</t>
  </si>
  <si>
    <t>Accretion Expense, mm</t>
  </si>
  <si>
    <t>Depreciation, amortization and accretion</t>
  </si>
  <si>
    <t>Nuclear fuel amortization</t>
  </si>
  <si>
    <t>Unrealized (gains) losses on derivative instruments</t>
  </si>
  <si>
    <t>Impairments</t>
  </si>
  <si>
    <t>Nuclear decommissioning trust funds (gain) loss, net (excluding interest and fees)</t>
  </si>
  <si>
    <t>Deferred income taxes</t>
  </si>
  <si>
    <t>Reorganization (income) expense, net</t>
  </si>
  <si>
    <t>Other</t>
  </si>
  <si>
    <t>Other Non-Cash Adjustments</t>
  </si>
  <si>
    <t>CFO before WC</t>
  </si>
  <si>
    <t>Accounts receivable, net</t>
  </si>
  <si>
    <t>Inventory, net</t>
  </si>
  <si>
    <t>Accounts payable and accrued liabilities</t>
  </si>
  <si>
    <t>Other assets</t>
  </si>
  <si>
    <t>Collateral received (posted), net</t>
  </si>
  <si>
    <t>Accrued interest</t>
  </si>
  <si>
    <t>Other liabilities</t>
  </si>
  <si>
    <t>Other Working Capital Changes</t>
  </si>
  <si>
    <t>Net CFO</t>
  </si>
  <si>
    <t>Capex of PPE and Intangibles, mm</t>
  </si>
  <si>
    <t>Percentage of PPE &amp; Intangibles capex allocated to intangible assets, %</t>
  </si>
  <si>
    <t>Property, plant and equipment expenditures</t>
  </si>
  <si>
    <t>Nuclear fuel expenditures</t>
  </si>
  <si>
    <t>Nuclear decommissioning trust funds investment sale proceeds</t>
  </si>
  <si>
    <t>Nuclear decommissioning trust funds investment purchases</t>
  </si>
  <si>
    <t>Nuclear Decommissioning, Net</t>
  </si>
  <si>
    <t>Proceeds from the sale of assets</t>
  </si>
  <si>
    <t>Proceeds from Cumulus Data Center Campus Sale and ERCOT sale</t>
  </si>
  <si>
    <t>Equity investments in affiliates</t>
  </si>
  <si>
    <t>Proceeds from the sale of non-core assets</t>
  </si>
  <si>
    <t>Other investing activities</t>
  </si>
  <si>
    <t>Net CFI</t>
  </si>
  <si>
    <t>Contribution from member</t>
  </si>
  <si>
    <t>Exit Financings proceeds, net of discount</t>
  </si>
  <si>
    <t>Repayment of Prepetition Secured Indebtedness</t>
  </si>
  <si>
    <t>Payment of make-whole premiums on Prepetition Secured Indebtedness</t>
  </si>
  <si>
    <t>Bankruptcy emergence / one-time (never repeat)</t>
  </si>
  <si>
    <t>Talen Energy Supply long-term debt issuance proceeds</t>
  </si>
  <si>
    <t>TLB proceeds, net</t>
  </si>
  <si>
    <t>Revolving credit facility borrowings</t>
  </si>
  <si>
    <t>Debt Issuance (new borrowing)</t>
  </si>
  <si>
    <t>Deferred finance costs</t>
  </si>
  <si>
    <t>Revolving credit facility payments</t>
  </si>
  <si>
    <t>Cumulus Digital TLF payments</t>
  </si>
  <si>
    <t>LMBE-MC TLB payments</t>
  </si>
  <si>
    <t>Debt repayments</t>
  </si>
  <si>
    <t>Talen Energy Supply long-term debt repayments</t>
  </si>
  <si>
    <t>Debt Repayment (ongoing)</t>
  </si>
  <si>
    <t>Repurchase of warrants</t>
  </si>
  <si>
    <t>Repurchase of noncontrolling interest</t>
  </si>
  <si>
    <t>Share repurchases</t>
  </si>
  <si>
    <t>Cash settlement of restricted stock units</t>
  </si>
  <si>
    <t>Repurchases of shares, warrants, RSUs</t>
  </si>
  <si>
    <t>Derivatives with financing elements</t>
  </si>
  <si>
    <t xml:space="preserve">Other </t>
  </si>
  <si>
    <t>Other Financing Activities</t>
  </si>
  <si>
    <t>Net CFF</t>
  </si>
  <si>
    <t xml:space="preserve">smth we learned in class: conservatism --&gt; I needed it to balance </t>
  </si>
  <si>
    <t>Net Change in Cash</t>
  </si>
  <si>
    <t>2025A</t>
  </si>
  <si>
    <t>DCF</t>
  </si>
  <si>
    <t>TLN as of 04/24/2026</t>
  </si>
  <si>
    <t>Year</t>
  </si>
  <si>
    <t>Assumptions</t>
  </si>
  <si>
    <t>% Growth YY</t>
  </si>
  <si>
    <t>LT Growth Rate</t>
  </si>
  <si>
    <t>%</t>
  </si>
  <si>
    <t>Coupon %</t>
  </si>
  <si>
    <t>$</t>
  </si>
  <si>
    <t>% Weight</t>
  </si>
  <si>
    <t>$ Growth YY</t>
  </si>
  <si>
    <t>FY 2027 EBITDA</t>
  </si>
  <si>
    <t>Operating Lease</t>
  </si>
  <si>
    <t>Current debt has ~6% interest</t>
  </si>
  <si>
    <t>FY2027 EV/EBITDA</t>
  </si>
  <si>
    <t>Debt</t>
  </si>
  <si>
    <t>Cost of Debt</t>
  </si>
  <si>
    <t>Adj. EBIT</t>
  </si>
  <si>
    <t>Tax Rate</t>
  </si>
  <si>
    <t>WACC</t>
  </si>
  <si>
    <t>After-tax kD</t>
  </si>
  <si>
    <t>5Y Beta</t>
  </si>
  <si>
    <t xml:space="preserve">Coupon is 6.7% because that is weighted average across all tranches of debt --&gt; company is wokring hard to improve to get to market standard </t>
  </si>
  <si>
    <t>%Margin</t>
  </si>
  <si>
    <t>Valuation - Exit Multiple</t>
  </si>
  <si>
    <t>ERP</t>
  </si>
  <si>
    <t>bps YY</t>
  </si>
  <si>
    <t>RFR</t>
  </si>
  <si>
    <t>%Inc. Margin</t>
  </si>
  <si>
    <t>Sum of Growth Period FCFF</t>
  </si>
  <si>
    <t>Cost of Equity</t>
  </si>
  <si>
    <t>Terminal Enterprise Value</t>
  </si>
  <si>
    <t>Effective Tax Rate</t>
  </si>
  <si>
    <t>PV of Terminal Value</t>
  </si>
  <si>
    <t>NOPAT</t>
  </si>
  <si>
    <t>Implied Enterprise Value</t>
  </si>
  <si>
    <t>(-) CapEx</t>
  </si>
  <si>
    <t>(+) Cash</t>
  </si>
  <si>
    <t>% Revenue</t>
  </si>
  <si>
    <t>(-) Debt</t>
  </si>
  <si>
    <t>Market Cap (Equity Value)</t>
  </si>
  <si>
    <t>(+) D&amp;A</t>
  </si>
  <si>
    <t>% CapEx</t>
  </si>
  <si>
    <t>Implied DCF PT</t>
  </si>
  <si>
    <t>Current Share Price</t>
  </si>
  <si>
    <t>(-) Change in WC</t>
  </si>
  <si>
    <t>%MoS</t>
  </si>
  <si>
    <t>Valuation - LT Growth Rate</t>
  </si>
  <si>
    <t>LT growth rate method doesn't work for this type of company because leveraged power companies have lumpy cash flows - ignore because this is really fast growing (since just came out of bankruptcy)</t>
  </si>
  <si>
    <t>FCFF</t>
  </si>
  <si>
    <t>Discount Factor</t>
  </si>
  <si>
    <t>DFCFF</t>
  </si>
  <si>
    <t>DCF Assumptions - Levered Beta</t>
  </si>
  <si>
    <t>Discounter Comps</t>
  </si>
  <si>
    <t>LTM Debt/Capital</t>
  </si>
  <si>
    <t>LTM Equity/Capital</t>
  </si>
  <si>
    <t>D/E</t>
  </si>
  <si>
    <t>Levered Beta</t>
  </si>
  <si>
    <t>Unlevered Beta</t>
  </si>
  <si>
    <t>The AES Corporation (NYSE:AES)</t>
  </si>
  <si>
    <t>Entergy Corporation (NYSE:ETR)</t>
  </si>
  <si>
    <t>NRG Energy, Inc. (NYSE:NRG)</t>
  </si>
  <si>
    <t>Constellation Energy Corporation (NasdaqGS:CEG)</t>
  </si>
  <si>
    <t>Vistra Corp. (NYSE:VST)</t>
  </si>
  <si>
    <t>Brookfield Renewable Corporation (NYSE:BEPC)</t>
  </si>
  <si>
    <t>Average</t>
  </si>
  <si>
    <t>Source: CapIQ</t>
  </si>
  <si>
    <t>Relevered:</t>
  </si>
  <si>
    <t>this is a very volatile beta to use</t>
  </si>
  <si>
    <t>they are moving toward being a merchant genrator to cntraact --&gt; I think beta should refelct it --&gt; should trade much closer to the comp set (rn is an anamoly timefor them)</t>
  </si>
  <si>
    <t>Forward-looking debt/equity</t>
  </si>
  <si>
    <t>using this metric because they are at peak level of debt, so it wil decline in future</t>
  </si>
  <si>
    <t>Discount factor</t>
  </si>
  <si>
    <t>TLN Comps</t>
  </si>
  <si>
    <t>Overview</t>
  </si>
  <si>
    <t>EV/Rev</t>
  </si>
  <si>
    <t>EV/EBITDA</t>
  </si>
  <si>
    <t>P/E</t>
  </si>
  <si>
    <t>Drivers</t>
  </si>
  <si>
    <t>Net Debt</t>
  </si>
  <si>
    <t>Total Enterprise Value</t>
  </si>
  <si>
    <t>LTM</t>
  </si>
  <si>
    <t>NTM</t>
  </si>
  <si>
    <t>NTM EPS</t>
  </si>
  <si>
    <t>1-yr Revenue Growth</t>
  </si>
  <si>
    <t>LTM EBITDA Margin</t>
  </si>
  <si>
    <t>LTM Gross Margin</t>
  </si>
  <si>
    <t>NM</t>
  </si>
  <si>
    <t>Min</t>
  </si>
  <si>
    <t>25th Percentile</t>
  </si>
  <si>
    <t>Mean</t>
  </si>
  <si>
    <t>Median</t>
  </si>
  <si>
    <t>75th Percentile</t>
  </si>
  <si>
    <t>Max</t>
  </si>
  <si>
    <t>NYSE: TLN</t>
  </si>
  <si>
    <t>EV Based Multiple</t>
  </si>
  <si>
    <t>Calendar Date</t>
  </si>
  <si>
    <t>NTM EV/EBITDA</t>
  </si>
  <si>
    <t>Implied EV</t>
  </si>
  <si>
    <t>TLN Equity Value</t>
  </si>
  <si>
    <t>(/) FDSO</t>
  </si>
  <si>
    <t>TLN PT</t>
  </si>
  <si>
    <t>Upside/Downside, %</t>
  </si>
  <si>
    <t>IRR, %</t>
  </si>
  <si>
    <t>Revenue Distribution Pie</t>
  </si>
  <si>
    <t>Energy Revenue</t>
  </si>
  <si>
    <t>Capacity Revenue</t>
  </si>
  <si>
    <t>Physical Bilateral Contracts</t>
  </si>
  <si>
    <t>Debt to Equity</t>
  </si>
  <si>
    <t>THESIS 1</t>
  </si>
  <si>
    <t>Period</t>
  </si>
  <si>
    <t>Debt to Equity (x)</t>
  </si>
  <si>
    <t>Q3 2024</t>
  </si>
  <si>
    <t>Q4 2024</t>
  </si>
  <si>
    <t>Q1 2025</t>
  </si>
  <si>
    <t>Q2 2025</t>
  </si>
  <si>
    <t>Q3 2025</t>
  </si>
  <si>
    <t>Q4 2025</t>
  </si>
  <si>
    <t>Interest Coverage</t>
  </si>
  <si>
    <t>Interest Coverage (x)</t>
  </si>
  <si>
    <t>Close </t>
  </si>
  <si>
    <t>Apr 21, 2026</t>
  </si>
  <si>
    <t>Apr 20, 2026</t>
  </si>
  <si>
    <t>PJM Clearing Price ($/MW-day)</t>
  </si>
  <si>
    <t>Talen Capacity Revenue ($M)</t>
  </si>
  <si>
    <t>Apr 17, 2026</t>
  </si>
  <si>
    <t>Apr 16, 2026</t>
  </si>
  <si>
    <t>Apr 15, 2026</t>
  </si>
  <si>
    <t>Apr 14, 2026</t>
  </si>
  <si>
    <t>Historical (TWh)</t>
  </si>
  <si>
    <t>Projected (TWh)</t>
  </si>
  <si>
    <t>FY2026E</t>
  </si>
  <si>
    <t>Apr 13, 2026</t>
  </si>
  <si>
    <t>FY2027E</t>
  </si>
  <si>
    <t>Apr 10, 2026</t>
  </si>
  <si>
    <t>Net Debt/EBITDA</t>
  </si>
  <si>
    <t>Apr 9, 2026</t>
  </si>
  <si>
    <t>Net Debt ($M)</t>
  </si>
  <si>
    <t>Quarterly EBITDA ($M)</t>
  </si>
  <si>
    <t>Net Debt/EBITDA (quarterly — distorted)</t>
  </si>
  <si>
    <t>Net Debt/EBITDA (mgmt LTM — USE THIS)</t>
  </si>
  <si>
    <t>Apr 8, 2026</t>
  </si>
  <si>
    <t>—</t>
  </si>
  <si>
    <t>Apr 7, 2026</t>
  </si>
  <si>
    <t>2.60 (confirmed earnings call)</t>
  </si>
  <si>
    <t>Apr 6, 2026</t>
  </si>
  <si>
    <t>2.60 (confirmed earnings call May 2025)</t>
  </si>
  <si>
    <t>Apr 2, 2026</t>
  </si>
  <si>
    <t>2.70 (confirmed earnings call Aug 2025)</t>
  </si>
  <si>
    <t>Apr 1, 2026</t>
  </si>
  <si>
    <t>Mar 31, 2026</t>
  </si>
  <si>
    <t>3.00 (confirmed earnings release Feb 2026)</t>
  </si>
  <si>
    <t>Mar 30, 2026</t>
  </si>
  <si>
    <t>Mar 27, 2026</t>
  </si>
  <si>
    <t>Mar 26, 2026</t>
  </si>
  <si>
    <t>Mar 25, 2026</t>
  </si>
  <si>
    <t>Mar 24, 2026</t>
  </si>
  <si>
    <t>Mar 23, 2026</t>
  </si>
  <si>
    <t>Mar 20, 2026</t>
  </si>
  <si>
    <t>Mar 19, 2026</t>
  </si>
  <si>
    <t>Mar 18, 2026</t>
  </si>
  <si>
    <t>Mar 17, 2026</t>
  </si>
  <si>
    <t>Mar 16, 2026</t>
  </si>
  <si>
    <t>Mar 13, 2026</t>
  </si>
  <si>
    <t>Mar 12, 2026</t>
  </si>
  <si>
    <t>Mar 11, 2026</t>
  </si>
  <si>
    <t>Mar 10, 2026</t>
  </si>
  <si>
    <t>Mar 9, 2026</t>
  </si>
  <si>
    <t>Mar 6, 2026</t>
  </si>
  <si>
    <t>Mar 5, 2026</t>
  </si>
  <si>
    <t>Mar 4, 2026</t>
  </si>
  <si>
    <t>Mar 3, 2026</t>
  </si>
  <si>
    <t>Buy</t>
  </si>
  <si>
    <t>Mar 2, 2026</t>
  </si>
  <si>
    <t>Contract</t>
  </si>
  <si>
    <t>Feb 27, 2026</t>
  </si>
  <si>
    <t>Re-Rate</t>
  </si>
  <si>
    <t>Feb 26, 2026</t>
  </si>
  <si>
    <t>% Hedged</t>
  </si>
  <si>
    <t>% Unhedged</t>
  </si>
  <si>
    <t>Repeat</t>
  </si>
  <si>
    <t>Feb 25, 2026</t>
  </si>
  <si>
    <t>Feb 24, 2026</t>
  </si>
  <si>
    <t>Feb 23, 2026</t>
  </si>
  <si>
    <t>Feb 20, 2026</t>
  </si>
  <si>
    <t>Feb 19, 2026</t>
  </si>
  <si>
    <t>Feb 18, 2026</t>
  </si>
  <si>
    <t>Hedged</t>
  </si>
  <si>
    <t>Feb 17, 2026</t>
  </si>
  <si>
    <t>Unhedged</t>
  </si>
  <si>
    <t>Feb 13, 2026</t>
  </si>
  <si>
    <t>Feb 12, 2026</t>
  </si>
  <si>
    <t>Feb 11, 2026</t>
  </si>
  <si>
    <t>Feb 10, 2026</t>
  </si>
  <si>
    <t>Feb 9, 2026</t>
  </si>
  <si>
    <t>Feb 6, 2026</t>
  </si>
  <si>
    <t>Feb 5, 2026</t>
  </si>
  <si>
    <t>Feb 4, 2026</t>
  </si>
  <si>
    <t>Feb 3, 2026</t>
  </si>
  <si>
    <t>Feb 2, 2026</t>
  </si>
  <si>
    <t>Jan 30, 2026</t>
  </si>
  <si>
    <t>Jan 29, 2026</t>
  </si>
  <si>
    <t>Jan 28, 2026</t>
  </si>
  <si>
    <t>Jan 27, 2026</t>
  </si>
  <si>
    <t>Jan 26, 2026</t>
  </si>
  <si>
    <t>Jan 23, 2026</t>
  </si>
  <si>
    <t>Jan 22, 2026</t>
  </si>
  <si>
    <t>Jan 21, 2026</t>
  </si>
  <si>
    <t>Jan 20, 2026</t>
  </si>
  <si>
    <t>Jan 16, 2026</t>
  </si>
  <si>
    <t>Jan 15, 2026</t>
  </si>
  <si>
    <t>Jan 14, 2026</t>
  </si>
  <si>
    <t>Jan 13, 2026</t>
  </si>
  <si>
    <t>Jan 12, 2026</t>
  </si>
  <si>
    <t>Jan 9, 2026</t>
  </si>
  <si>
    <t>Jan 8, 2026</t>
  </si>
  <si>
    <t>Jan 7, 2026</t>
  </si>
  <si>
    <t>Jan 6, 2026</t>
  </si>
  <si>
    <t>Jan 5, 2026</t>
  </si>
  <si>
    <t>Jan 2, 2026</t>
  </si>
  <si>
    <t>Dec 31, 2025</t>
  </si>
  <si>
    <t>Dec 30, 2025</t>
  </si>
  <si>
    <t>Dec 29, 2025</t>
  </si>
  <si>
    <t>Dec 26, 2025</t>
  </si>
  <si>
    <t>Dec 24, 2025</t>
  </si>
  <si>
    <t>Dec 23, 2025</t>
  </si>
  <si>
    <t>Dec 22, 2025</t>
  </si>
  <si>
    <t>Dec 19, 2025</t>
  </si>
  <si>
    <t>Dec 18, 2025</t>
  </si>
  <si>
    <t>Dec 17, 2025</t>
  </si>
  <si>
    <t>Dec 16, 2025</t>
  </si>
  <si>
    <t>Dec 15, 2025</t>
  </si>
  <si>
    <t>Dec 12, 2025</t>
  </si>
  <si>
    <t>Dec 11, 2025</t>
  </si>
  <si>
    <t>Dec 10, 2025</t>
  </si>
  <si>
    <t>Dec 9, 2025</t>
  </si>
  <si>
    <t>Dec 8, 2025</t>
  </si>
  <si>
    <t>Dec 5, 2025</t>
  </si>
  <si>
    <t>Dec 4, 2025</t>
  </si>
  <si>
    <t>Dec 3, 2025</t>
  </si>
  <si>
    <t>Dec 2, 2025</t>
  </si>
  <si>
    <t>Dec 1, 2025</t>
  </si>
  <si>
    <t>Nov 28, 2025</t>
  </si>
  <si>
    <t>Nov 26, 2025</t>
  </si>
  <si>
    <t>Nov 25, 2025</t>
  </si>
  <si>
    <t>Nov 24, 2025</t>
  </si>
  <si>
    <t>Nov 21, 2025</t>
  </si>
  <si>
    <t>Nov 20, 2025</t>
  </si>
  <si>
    <t>Nov 19, 2025</t>
  </si>
  <si>
    <t>Nov 18, 2025</t>
  </si>
  <si>
    <t>Nov 17, 2025</t>
  </si>
  <si>
    <t>Nov 14, 2025</t>
  </si>
  <si>
    <t>Nov 13, 2025</t>
  </si>
  <si>
    <t>Nov 12, 2025</t>
  </si>
  <si>
    <t>Nov 11, 2025</t>
  </si>
  <si>
    <t>Nov 10, 2025</t>
  </si>
  <si>
    <t>Nov 7, 2025</t>
  </si>
  <si>
    <t>Nov 6, 2025</t>
  </si>
  <si>
    <t>Nov 5, 2025</t>
  </si>
  <si>
    <t>Nov 4, 2025</t>
  </si>
  <si>
    <t>Nov 3, 2025</t>
  </si>
  <si>
    <t>Oct 31, 2025</t>
  </si>
  <si>
    <t>Oct 30, 2025</t>
  </si>
  <si>
    <t>Oct 29, 2025</t>
  </si>
  <si>
    <t>Oct 28, 2025</t>
  </si>
  <si>
    <t>Oct 27, 2025</t>
  </si>
  <si>
    <t>Oct 24, 2025</t>
  </si>
  <si>
    <t>Oct 23, 2025</t>
  </si>
  <si>
    <t>Oct 22, 2025</t>
  </si>
  <si>
    <t>Oct 21, 2025</t>
  </si>
  <si>
    <t>Oct 20, 2025</t>
  </si>
  <si>
    <t>Oct 17, 2025</t>
  </si>
  <si>
    <t>Oct 16, 2025</t>
  </si>
  <si>
    <t>Oct 15, 2025</t>
  </si>
  <si>
    <t>Oct 14, 2025</t>
  </si>
  <si>
    <t>Oct 13, 2025</t>
  </si>
  <si>
    <t>Oct 10, 2025</t>
  </si>
  <si>
    <t>Oct 9, 2025</t>
  </si>
  <si>
    <t>Oct 8, 2025</t>
  </si>
  <si>
    <t>Oct 7, 2025</t>
  </si>
  <si>
    <t>Oct 6, 2025</t>
  </si>
  <si>
    <t>Oct 3, 2025</t>
  </si>
  <si>
    <t>Oct 2, 2025</t>
  </si>
  <si>
    <t>Oct 1, 2025</t>
  </si>
  <si>
    <t>Sep 30, 2025</t>
  </si>
  <si>
    <t>Sep 29, 2025</t>
  </si>
  <si>
    <t>Sep 26, 2025</t>
  </si>
  <si>
    <t>Sep 25, 2025</t>
  </si>
  <si>
    <t>Sep 24, 2025</t>
  </si>
  <si>
    <t>Sep 23, 2025</t>
  </si>
  <si>
    <t>Sep 22, 2025</t>
  </si>
  <si>
    <t>Sep 19, 2025</t>
  </si>
  <si>
    <t>Sep 18, 2025</t>
  </si>
  <si>
    <t>Sep 17, 2025</t>
  </si>
  <si>
    <t>Sep 16, 2025</t>
  </si>
  <si>
    <t>Sep 15, 2025</t>
  </si>
  <si>
    <t>Sep 12, 2025</t>
  </si>
  <si>
    <t>Sep 11, 2025</t>
  </si>
  <si>
    <t>Sep 10, 2025</t>
  </si>
  <si>
    <t>Sep 9, 2025</t>
  </si>
  <si>
    <t>Sep 8, 2025</t>
  </si>
  <si>
    <t>Sep 5, 2025</t>
  </si>
  <si>
    <t>Sep 4, 2025</t>
  </si>
  <si>
    <t>Sep 3, 2025</t>
  </si>
  <si>
    <t>Sep 2, 2025</t>
  </si>
  <si>
    <t>Aug 29, 2025</t>
  </si>
  <si>
    <t>Aug 28, 2025</t>
  </si>
  <si>
    <t>Aug 27, 2025</t>
  </si>
  <si>
    <t>Aug 26, 2025</t>
  </si>
  <si>
    <t>Aug 25, 2025</t>
  </si>
  <si>
    <t>Aug 22, 2025</t>
  </si>
  <si>
    <t>Aug 21, 2025</t>
  </si>
  <si>
    <t>Aug 20, 2025</t>
  </si>
  <si>
    <t>Aug 19, 2025</t>
  </si>
  <si>
    <t>Aug 18, 2025</t>
  </si>
  <si>
    <t>Aug 15, 2025</t>
  </si>
  <si>
    <t>Aug 14, 2025</t>
  </si>
  <si>
    <t>Aug 13, 2025</t>
  </si>
  <si>
    <t>Aug 12, 2025</t>
  </si>
  <si>
    <t>Aug 11, 2025</t>
  </si>
  <si>
    <t>Aug 8, 2025</t>
  </si>
  <si>
    <t>Aug 7, 2025</t>
  </si>
  <si>
    <t>Aug 6, 2025</t>
  </si>
  <si>
    <t>Aug 5, 2025</t>
  </si>
  <si>
    <t>Aug 4, 2025</t>
  </si>
  <si>
    <t>Aug 1, 2025</t>
  </si>
  <si>
    <t>Jul 31, 2025</t>
  </si>
  <si>
    <t>Jul 30, 2025</t>
  </si>
  <si>
    <t>Jul 29, 2025</t>
  </si>
  <si>
    <t>Jul 28, 2025</t>
  </si>
  <si>
    <t>Jul 25, 2025</t>
  </si>
  <si>
    <t>Jul 24, 2025</t>
  </si>
  <si>
    <t>Jul 23, 2025</t>
  </si>
  <si>
    <t>Jul 22, 2025</t>
  </si>
  <si>
    <t>Jul 21, 2025</t>
  </si>
  <si>
    <t>Jul 18, 2025</t>
  </si>
  <si>
    <t>Jul 17, 2025</t>
  </si>
  <si>
    <t>Jul 16, 2025</t>
  </si>
  <si>
    <t>Jul 15, 2025</t>
  </si>
  <si>
    <t>Jul 14, 2025</t>
  </si>
  <si>
    <t>Jul 11, 2025</t>
  </si>
  <si>
    <t>Jul 10, 2025</t>
  </si>
  <si>
    <t>Jul 9, 2025</t>
  </si>
  <si>
    <t>Jul 8, 2025</t>
  </si>
  <si>
    <t>Jul 7, 2025</t>
  </si>
  <si>
    <t>Jul 3, 2025</t>
  </si>
  <si>
    <t>Jul 2, 2025</t>
  </si>
  <si>
    <t>Jul 1, 2025</t>
  </si>
  <si>
    <t>Jun 30, 2025</t>
  </si>
  <si>
    <t>Jun 27, 2025</t>
  </si>
  <si>
    <t>Jun 26, 2025</t>
  </si>
  <si>
    <t>Jun 25, 2025</t>
  </si>
  <si>
    <t>Jun 24, 2025</t>
  </si>
  <si>
    <t>Jun 23, 2025</t>
  </si>
  <si>
    <t>Jun 20, 2025</t>
  </si>
  <si>
    <t>Jun 18, 2025</t>
  </si>
  <si>
    <t>Jun 17, 2025</t>
  </si>
  <si>
    <t>Jun 16, 2025</t>
  </si>
  <si>
    <t>Jun 13, 2025</t>
  </si>
  <si>
    <t>Jun 12, 2025</t>
  </si>
  <si>
    <t>Jun 11, 2025</t>
  </si>
  <si>
    <t>Jun 10, 2025</t>
  </si>
  <si>
    <t>Jun 9, 2025</t>
  </si>
  <si>
    <t>Jun 6, 2025</t>
  </si>
  <si>
    <t>Jun 5, 2025</t>
  </si>
  <si>
    <t>Jun 4, 2025</t>
  </si>
  <si>
    <t>Jun 3, 2025</t>
  </si>
  <si>
    <t>Jun 2, 2025</t>
  </si>
  <si>
    <t>May 30, 2025</t>
  </si>
  <si>
    <t>May 29, 2025</t>
  </si>
  <si>
    <t>May 28, 2025</t>
  </si>
  <si>
    <t>May 27, 2025</t>
  </si>
  <si>
    <t>May 23, 2025</t>
  </si>
  <si>
    <t>May 22, 2025</t>
  </si>
  <si>
    <t>May 21, 2025</t>
  </si>
  <si>
    <t>May 20, 2025</t>
  </si>
  <si>
    <t>May 19, 2025</t>
  </si>
  <si>
    <t>May 16, 2025</t>
  </si>
  <si>
    <t>May 15, 2025</t>
  </si>
  <si>
    <t>May 14, 2025</t>
  </si>
  <si>
    <t>May 13, 2025</t>
  </si>
  <si>
    <t>May 12, 2025</t>
  </si>
  <si>
    <t>May 9, 2025</t>
  </si>
  <si>
    <t>May 8, 2025</t>
  </si>
  <si>
    <t>May 7, 2025</t>
  </si>
  <si>
    <t>May 6, 2025</t>
  </si>
  <si>
    <t>May 5, 2025</t>
  </si>
  <si>
    <t>May 2, 2025</t>
  </si>
  <si>
    <t>May 1, 2025</t>
  </si>
  <si>
    <t>Apr 30, 2025</t>
  </si>
  <si>
    <t>Apr 29, 2025</t>
  </si>
  <si>
    <t>Apr 28, 2025</t>
  </si>
  <si>
    <t>Apr 25, 2025</t>
  </si>
  <si>
    <t>Apr 24, 2025</t>
  </si>
  <si>
    <t>Apr 23, 2025</t>
  </si>
  <si>
    <t>Apr 22, 2025</t>
  </si>
  <si>
    <t>Apr 21,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</si>
</sst>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164" formatCode="&quot;$&quot;#,##0_);\(&quot;$&quot;#,##0\)"/>
    <numFmt numFmtId="165" formatCode="_(* #,##0_);_(* \(#,##0\);_(* &quot;-&quot;??_);_(@_)"/>
    <numFmt numFmtId="166" formatCode="[$-409]mmm\-yy;@"/>
    <numFmt numFmtId="167" formatCode="0.0%"/>
    <numFmt numFmtId="168" formatCode="0.0%;\(0.0%\);\-"/>
    <numFmt numFmtId="169" formatCode="#,##0;\(#,##0\);\-"/>
    <numFmt numFmtId="170" formatCode="_(* #,##0.0_);_(* \(#,##0.0\);_(* &quot;-&quot;??_);_(@_)"/>
    <numFmt numFmtId="171" formatCode="0_);\(0\)"/>
    <numFmt numFmtId="172" formatCode="_([$$-409]* #,##0_);_([$$-409]* \(#,##0\);_([$$-409]* &quot;-&quot;_);_(@_)"/>
    <numFmt numFmtId="173" formatCode="_([$$-409]* #,##0.00_);_([$$-409]* \(#,##0.00\);_([$$-409]* &quot;-&quot;??_);_(@_)"/>
    <numFmt numFmtId="174" formatCode="_(\ #,##0.0#_);_(\(\ #,##0.0#\)_);_(\ &quot; - &quot;_)"/>
    <numFmt numFmtId="175" formatCode="_(#,##0.00%_);_(\(#,##0.00%\)_);_(#,##0.00%_)"/>
    <numFmt numFmtId="176" formatCode="_(#,##0.0%_);_(\(#,##0.0%\)_);_(#,##0.0%_)"/>
    <numFmt numFmtId="177" formatCode="#,##0.0_);\(#,##0.0\)"/>
    <numFmt numFmtId="178" formatCode="0.0\x"/>
    <numFmt numFmtId="179" formatCode="[$$-409]#,##0_);\([$$-409]#,##0\)"/>
    <numFmt numFmtId="180" formatCode="[$-409]mmm\-yy"/>
    <numFmt numFmtId="181" formatCode="0&quot;E&quot;"/>
    <numFmt numFmtId="182" formatCode="_(* 0.0%_);_(* \-0.0%_);_(* &quot;-&quot;??_);_(@_)"/>
    <numFmt numFmtId="183" formatCode="#,##0;\-#,##0"/>
    <numFmt numFmtId="184" formatCode="#,##0_);\(#,##0\);\-"/>
    <numFmt numFmtId="185" formatCode="&quot;$&quot;#,##0.0_);\(&quot;$&quot;#,##0.0\)"/>
    <numFmt numFmtId="186" formatCode="&quot;$&quot;#,##0.0;\(&quot;$&quot;#,##0.0\);\-"/>
    <numFmt numFmtId="187" formatCode="0%;\(0%\);\-"/>
    <numFmt numFmtId="188" formatCode="0.00%;\(0.00%\);\-"/>
    <numFmt numFmtId="189" formatCode="#,##0.0\x"/>
    <numFmt numFmtId="190" formatCode="#,##0.0"/>
    <numFmt numFmtId="191" formatCode="0.0"/>
    <numFmt numFmtId="192" formatCode="&quot;$&quot;#,##0_);\(&quot;$&quot;#,##0\);\-"/>
    <numFmt numFmtId="193" formatCode="&quot;$&quot;#,##0.00_);\(&quot;$&quot;#,##0.00\);\-"/>
    <numFmt numFmtId="194" formatCode="[$$-409]#,##0.0_);\([$$-409]#,##0.0\)"/>
    <numFmt numFmtId="195" formatCode="[$$-409]#,##0.00_);\([$$-409]#,##0.00\)"/>
    <numFmt numFmtId="196" formatCode="[$$-409]#,##0"/>
  </numFmts>
  <fonts count="32" x14ac:knownFonts="1">
    <font>
      <sz val="12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i/>
      <sz val="12"/>
      <color theme="1"/>
      <name val="Garamond"/>
      <family val="1"/>
    </font>
    <font>
      <i/>
      <sz val="12"/>
      <name val="Garamond"/>
      <family val="1"/>
    </font>
    <font>
      <sz val="12"/>
      <color rgb="FF000000"/>
      <name val="Garamond"/>
      <family val="1"/>
    </font>
    <font>
      <b/>
      <sz val="12"/>
      <color rgb="FF000000"/>
      <name val="Garamond"/>
      <family val="1"/>
    </font>
    <font>
      <b/>
      <sz val="12"/>
      <color rgb="FF008000"/>
      <name val="Garamond"/>
      <family val="1"/>
    </font>
    <font>
      <sz val="12"/>
      <color rgb="FF0000FF"/>
      <name val="Garamond"/>
      <family val="1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2"/>
      <color theme="0"/>
      <name val="Garamond"/>
      <family val="1"/>
    </font>
    <font>
      <b/>
      <sz val="12"/>
      <color theme="0"/>
      <name val="Garamond"/>
      <family val="1"/>
    </font>
    <font>
      <i/>
      <sz val="12"/>
      <color rgb="FF000000"/>
      <name val="Garamond"/>
      <family val="1"/>
    </font>
    <font>
      <b/>
      <sz val="12"/>
      <color theme="0" tint="-4.9989318521683403E-2"/>
      <name val="Garamond"/>
      <family val="1"/>
    </font>
    <font>
      <sz val="12"/>
      <color rgb="FF232A31"/>
      <name val="Garamond"/>
      <family val="1"/>
    </font>
    <font>
      <sz val="12"/>
      <color rgb="FF3D3D3A"/>
      <name val="Garamond"/>
      <family val="1"/>
    </font>
    <font>
      <sz val="12"/>
      <color rgb="FF141413"/>
      <name val="Garamond"/>
      <family val="1"/>
    </font>
    <font>
      <sz val="12"/>
      <color rgb="FF185FA5"/>
      <name val="Garamond"/>
      <family val="1"/>
    </font>
    <font>
      <sz val="12"/>
      <color rgb="FF73726C"/>
      <name val="Garamond"/>
      <family val="1"/>
    </font>
    <font>
      <sz val="12"/>
      <color rgb="FF3B6D11"/>
      <name val="Garamond"/>
      <family val="1"/>
    </font>
    <font>
      <i/>
      <sz val="12"/>
      <color rgb="FF0000FF"/>
      <name val="Garamond"/>
      <family val="1"/>
    </font>
    <font>
      <b/>
      <sz val="12"/>
      <color rgb="FF0000FF"/>
      <name val="Garamond"/>
      <family val="1"/>
    </font>
    <font>
      <sz val="12"/>
      <color rgb="FF0000FC"/>
      <name val="Garamond"/>
      <family val="1"/>
    </font>
    <font>
      <b/>
      <sz val="12"/>
      <color rgb="FFFFFFFF"/>
      <name val="Garamond"/>
      <family val="1"/>
    </font>
    <font>
      <b/>
      <sz val="12"/>
      <color rgb="FF008009"/>
      <name val="Garamond"/>
      <family val="1"/>
    </font>
    <font>
      <sz val="12"/>
      <color rgb="FF008009"/>
      <name val="Garamond"/>
      <family val="1"/>
    </font>
    <font>
      <i/>
      <sz val="10"/>
      <color rgb="FF595959"/>
      <name val="Garamond"/>
      <family val="1"/>
    </font>
  </fonts>
  <fills count="27">
    <fill>
      <patternFill patternType="none"/>
    </fill>
    <fill>
      <patternFill patternType="gray125"/>
    </fill>
    <fill>
      <patternFill patternType="solid">
        <fgColor theme="4" tint="0.39997558519241921"/>
        <bgColor rgb="FF8EAADB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rgb="FF2F5496"/>
        <bgColor rgb="FF2F549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165" fontId="2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left" indent="1"/>
    </xf>
    <xf numFmtId="165" fontId="1" fillId="5" borderId="0" xfId="0" applyNumberFormat="1" applyFont="1" applyFill="1" applyAlignment="1">
      <alignment horizontal="left"/>
    </xf>
    <xf numFmtId="165" fontId="4" fillId="5" borderId="0" xfId="0" applyNumberFormat="1" applyFont="1" applyFill="1" applyAlignment="1">
      <alignment horizontal="left" indent="1"/>
    </xf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6" borderId="0" xfId="0" applyFont="1" applyFill="1"/>
    <xf numFmtId="0" fontId="5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5" fillId="7" borderId="0" xfId="0" applyFont="1" applyFill="1"/>
    <xf numFmtId="166" fontId="5" fillId="7" borderId="0" xfId="0" applyNumberFormat="1" applyFont="1" applyFill="1" applyAlignment="1">
      <alignment horizontal="center"/>
    </xf>
    <xf numFmtId="166" fontId="6" fillId="7" borderId="0" xfId="0" applyNumberFormat="1" applyFont="1" applyFill="1" applyAlignment="1">
      <alignment horizontal="center"/>
    </xf>
    <xf numFmtId="166" fontId="5" fillId="8" borderId="0" xfId="0" applyNumberFormat="1" applyFont="1" applyFill="1" applyAlignment="1">
      <alignment horizontal="center"/>
    </xf>
    <xf numFmtId="166" fontId="6" fillId="8" borderId="0" xfId="0" applyNumberFormat="1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9" borderId="0" xfId="0" applyFont="1" applyFill="1"/>
    <xf numFmtId="0" fontId="1" fillId="10" borderId="0" xfId="0" applyFont="1" applyFill="1"/>
    <xf numFmtId="167" fontId="3" fillId="0" borderId="0" xfId="0" applyNumberFormat="1" applyFont="1"/>
    <xf numFmtId="167" fontId="3" fillId="10" borderId="0" xfId="0" applyNumberFormat="1" applyFont="1" applyFill="1"/>
    <xf numFmtId="0" fontId="5" fillId="8" borderId="0" xfId="0" applyFont="1" applyFill="1"/>
    <xf numFmtId="0" fontId="3" fillId="0" borderId="0" xfId="0" applyFont="1"/>
    <xf numFmtId="0" fontId="3" fillId="0" borderId="0" xfId="0" applyFont="1" applyAlignment="1">
      <alignment horizontal="left" indent="1"/>
    </xf>
    <xf numFmtId="168" fontId="3" fillId="0" borderId="0" xfId="0" applyNumberFormat="1" applyFont="1"/>
    <xf numFmtId="168" fontId="3" fillId="10" borderId="0" xfId="0" applyNumberFormat="1" applyFont="1" applyFill="1"/>
    <xf numFmtId="0" fontId="1" fillId="10" borderId="4" xfId="0" applyFont="1" applyFill="1" applyBorder="1"/>
    <xf numFmtId="167" fontId="3" fillId="10" borderId="4" xfId="0" applyNumberFormat="1" applyFont="1" applyFill="1" applyBorder="1"/>
    <xf numFmtId="168" fontId="3" fillId="10" borderId="4" xfId="0" applyNumberFormat="1" applyFont="1" applyFill="1" applyBorder="1"/>
    <xf numFmtId="0" fontId="8" fillId="0" borderId="0" xfId="0" applyFont="1"/>
    <xf numFmtId="169" fontId="8" fillId="0" borderId="0" xfId="0" applyNumberFormat="1" applyFont="1"/>
    <xf numFmtId="0" fontId="2" fillId="0" borderId="1" xfId="0" applyFont="1" applyBorder="1"/>
    <xf numFmtId="165" fontId="8" fillId="5" borderId="0" xfId="0" applyNumberFormat="1" applyFont="1" applyFill="1"/>
    <xf numFmtId="165" fontId="8" fillId="10" borderId="0" xfId="0" applyNumberFormat="1" applyFont="1" applyFill="1"/>
    <xf numFmtId="165" fontId="8" fillId="10" borderId="4" xfId="0" applyNumberFormat="1" applyFont="1" applyFill="1" applyBorder="1"/>
    <xf numFmtId="0" fontId="8" fillId="10" borderId="0" xfId="0" applyFont="1" applyFill="1"/>
    <xf numFmtId="0" fontId="8" fillId="10" borderId="4" xfId="0" applyFont="1" applyFill="1" applyBorder="1"/>
    <xf numFmtId="169" fontId="8" fillId="10" borderId="0" xfId="0" applyNumberFormat="1" applyFont="1" applyFill="1"/>
    <xf numFmtId="169" fontId="8" fillId="10" borderId="4" xfId="0" applyNumberFormat="1" applyFont="1" applyFill="1" applyBorder="1"/>
    <xf numFmtId="170" fontId="1" fillId="5" borderId="0" xfId="0" applyNumberFormat="1" applyFont="1" applyFill="1"/>
    <xf numFmtId="0" fontId="1" fillId="10" borderId="6" xfId="0" applyFont="1" applyFill="1" applyBorder="1"/>
    <xf numFmtId="0" fontId="15" fillId="4" borderId="0" xfId="0" applyFont="1" applyFill="1"/>
    <xf numFmtId="0" fontId="1" fillId="10" borderId="2" xfId="0" applyFont="1" applyFill="1" applyBorder="1" applyAlignment="1">
      <alignment horizontal="left"/>
    </xf>
    <xf numFmtId="0" fontId="1" fillId="10" borderId="0" xfId="0" applyFont="1" applyFill="1" applyAlignment="1">
      <alignment horizontal="left"/>
    </xf>
    <xf numFmtId="171" fontId="1" fillId="0" borderId="0" xfId="0" applyNumberFormat="1" applyFont="1"/>
    <xf numFmtId="171" fontId="1" fillId="10" borderId="0" xfId="0" applyNumberFormat="1" applyFont="1" applyFill="1"/>
    <xf numFmtId="37" fontId="1" fillId="0" borderId="0" xfId="0" applyNumberFormat="1" applyFont="1"/>
    <xf numFmtId="172" fontId="2" fillId="0" borderId="1" xfId="0" applyNumberFormat="1" applyFont="1" applyBorder="1"/>
    <xf numFmtId="173" fontId="1" fillId="0" borderId="0" xfId="0" applyNumberFormat="1" applyFont="1"/>
    <xf numFmtId="173" fontId="1" fillId="10" borderId="0" xfId="0" applyNumberFormat="1" applyFont="1" applyFill="1"/>
    <xf numFmtId="173" fontId="1" fillId="10" borderId="4" xfId="0" applyNumberFormat="1" applyFont="1" applyFill="1" applyBorder="1"/>
    <xf numFmtId="37" fontId="1" fillId="10" borderId="0" xfId="0" applyNumberFormat="1" applyFont="1" applyFill="1"/>
    <xf numFmtId="172" fontId="2" fillId="10" borderId="1" xfId="0" applyNumberFormat="1" applyFont="1" applyFill="1" applyBorder="1"/>
    <xf numFmtId="37" fontId="1" fillId="10" borderId="4" xfId="0" applyNumberFormat="1" applyFont="1" applyFill="1" applyBorder="1"/>
    <xf numFmtId="172" fontId="2" fillId="10" borderId="5" xfId="0" applyNumberFormat="1" applyFont="1" applyFill="1" applyBorder="1"/>
    <xf numFmtId="172" fontId="7" fillId="0" borderId="0" xfId="0" applyNumberFormat="1" applyFont="1"/>
    <xf numFmtId="172" fontId="7" fillId="10" borderId="0" xfId="0" applyNumberFormat="1" applyFont="1" applyFill="1"/>
    <xf numFmtId="172" fontId="7" fillId="10" borderId="4" xfId="0" applyNumberFormat="1" applyFont="1" applyFill="1" applyBorder="1"/>
    <xf numFmtId="172" fontId="1" fillId="0" borderId="0" xfId="0" applyNumberFormat="1" applyFont="1"/>
    <xf numFmtId="172" fontId="1" fillId="10" borderId="0" xfId="0" applyNumberFormat="1" applyFont="1" applyFill="1"/>
    <xf numFmtId="172" fontId="1" fillId="10" borderId="4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0" fontId="1" fillId="0" borderId="3" xfId="0" applyFont="1" applyBorder="1"/>
    <xf numFmtId="172" fontId="2" fillId="0" borderId="0" xfId="0" applyNumberFormat="1" applyFont="1"/>
    <xf numFmtId="172" fontId="2" fillId="10" borderId="0" xfId="0" applyNumberFormat="1" applyFont="1" applyFill="1"/>
    <xf numFmtId="172" fontId="2" fillId="10" borderId="4" xfId="0" applyNumberFormat="1" applyFont="1" applyFill="1" applyBorder="1"/>
    <xf numFmtId="0" fontId="1" fillId="12" borderId="0" xfId="0" applyFont="1" applyFill="1"/>
    <xf numFmtId="0" fontId="15" fillId="13" borderId="0" xfId="0" applyFont="1" applyFill="1"/>
    <xf numFmtId="0" fontId="16" fillId="4" borderId="0" xfId="0" applyFont="1" applyFill="1"/>
    <xf numFmtId="165" fontId="3" fillId="0" borderId="0" xfId="0" applyNumberFormat="1" applyFont="1"/>
    <xf numFmtId="37" fontId="2" fillId="0" borderId="0" xfId="0" applyNumberFormat="1" applyFont="1"/>
    <xf numFmtId="37" fontId="2" fillId="0" borderId="2" xfId="0" applyNumberFormat="1" applyFont="1" applyBorder="1"/>
    <xf numFmtId="0" fontId="2" fillId="4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166" fontId="5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72" fontId="2" fillId="5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2" fillId="0" borderId="3" xfId="0" applyFont="1" applyBorder="1"/>
    <xf numFmtId="0" fontId="1" fillId="0" borderId="8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" fillId="0" borderId="0" xfId="0" quotePrefix="1" applyFont="1"/>
    <xf numFmtId="0" fontId="2" fillId="0" borderId="8" xfId="0" applyFont="1" applyBorder="1" applyAlignment="1">
      <alignment horizontal="center"/>
    </xf>
    <xf numFmtId="0" fontId="15" fillId="4" borderId="2" xfId="0" applyFont="1" applyFill="1" applyBorder="1"/>
    <xf numFmtId="0" fontId="15" fillId="4" borderId="2" xfId="0" applyFont="1" applyFill="1" applyBorder="1" applyAlignment="1">
      <alignment horizontal="center"/>
    </xf>
    <xf numFmtId="174" fontId="5" fillId="0" borderId="0" xfId="0" applyNumberFormat="1" applyFont="1" applyAlignment="1">
      <alignment horizontal="center" vertical="top" wrapText="1"/>
    </xf>
    <xf numFmtId="175" fontId="5" fillId="0" borderId="0" xfId="0" applyNumberFormat="1" applyFont="1" applyAlignment="1">
      <alignment horizontal="center" vertical="top" wrapText="1"/>
    </xf>
    <xf numFmtId="176" fontId="5" fillId="0" borderId="0" xfId="0" applyNumberFormat="1" applyFont="1" applyAlignment="1">
      <alignment horizontal="center" vertical="top" wrapText="1"/>
    </xf>
    <xf numFmtId="175" fontId="5" fillId="0" borderId="1" xfId="0" applyNumberFormat="1" applyFont="1" applyBorder="1" applyAlignment="1">
      <alignment horizontal="center" vertical="top" wrapText="1"/>
    </xf>
    <xf numFmtId="176" fontId="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0" fontId="15" fillId="4" borderId="6" xfId="0" applyFon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177" fontId="1" fillId="0" borderId="0" xfId="0" applyNumberFormat="1" applyFont="1"/>
    <xf numFmtId="178" fontId="5" fillId="0" borderId="0" xfId="0" applyNumberFormat="1" applyFont="1" applyAlignment="1">
      <alignment horizontal="center" vertical="top" wrapText="1"/>
    </xf>
    <xf numFmtId="178" fontId="5" fillId="0" borderId="4" xfId="0" applyNumberFormat="1" applyFont="1" applyBorder="1" applyAlignment="1">
      <alignment horizontal="center" vertical="top" wrapText="1"/>
    </xf>
    <xf numFmtId="178" fontId="5" fillId="0" borderId="9" xfId="0" applyNumberFormat="1" applyFont="1" applyBorder="1" applyAlignment="1">
      <alignment horizontal="center" vertical="top" wrapText="1"/>
    </xf>
    <xf numFmtId="178" fontId="1" fillId="10" borderId="2" xfId="0" applyNumberFormat="1" applyFont="1" applyFill="1" applyBorder="1" applyAlignment="1">
      <alignment horizontal="center"/>
    </xf>
    <xf numFmtId="178" fontId="1" fillId="10" borderId="0" xfId="0" applyNumberFormat="1" applyFont="1" applyFill="1" applyAlignment="1">
      <alignment horizontal="center"/>
    </xf>
    <xf numFmtId="178" fontId="1" fillId="0" borderId="0" xfId="0" applyNumberFormat="1" applyFont="1"/>
    <xf numFmtId="178" fontId="5" fillId="0" borderId="1" xfId="0" applyNumberFormat="1" applyFont="1" applyBorder="1" applyAlignment="1">
      <alignment horizontal="center" vertical="top" wrapText="1"/>
    </xf>
    <xf numFmtId="179" fontId="5" fillId="0" borderId="0" xfId="0" applyNumberFormat="1" applyFont="1" applyAlignment="1">
      <alignment horizontal="center" vertical="top" wrapText="1"/>
    </xf>
    <xf numFmtId="179" fontId="1" fillId="10" borderId="2" xfId="0" applyNumberFormat="1" applyFont="1" applyFill="1" applyBorder="1" applyAlignment="1">
      <alignment horizontal="center"/>
    </xf>
    <xf numFmtId="179" fontId="1" fillId="10" borderId="0" xfId="0" applyNumberFormat="1" applyFont="1" applyFill="1" applyAlignment="1">
      <alignment horizontal="center"/>
    </xf>
    <xf numFmtId="179" fontId="1" fillId="0" borderId="0" xfId="0" applyNumberFormat="1" applyFont="1"/>
    <xf numFmtId="179" fontId="5" fillId="0" borderId="1" xfId="0" applyNumberFormat="1" applyFont="1" applyBorder="1" applyAlignment="1">
      <alignment horizontal="center" vertical="top" wrapText="1"/>
    </xf>
    <xf numFmtId="179" fontId="5" fillId="0" borderId="4" xfId="0" applyNumberFormat="1" applyFont="1" applyBorder="1" applyAlignment="1">
      <alignment horizontal="center" vertical="top" wrapText="1"/>
    </xf>
    <xf numFmtId="179" fontId="5" fillId="0" borderId="9" xfId="0" applyNumberFormat="1" applyFont="1" applyBorder="1" applyAlignment="1">
      <alignment horizontal="center" vertical="top" wrapText="1"/>
    </xf>
    <xf numFmtId="167" fontId="1" fillId="10" borderId="2" xfId="0" applyNumberFormat="1" applyFont="1" applyFill="1" applyBorder="1" applyAlignment="1">
      <alignment horizontal="center"/>
    </xf>
    <xf numFmtId="167" fontId="1" fillId="10" borderId="0" xfId="0" applyNumberFormat="1" applyFont="1" applyFill="1" applyAlignment="1">
      <alignment horizontal="center"/>
    </xf>
    <xf numFmtId="175" fontId="1" fillId="0" borderId="0" xfId="0" applyNumberFormat="1" applyFont="1" applyAlignment="1">
      <alignment horizontal="center" vertical="top" wrapText="1"/>
    </xf>
    <xf numFmtId="0" fontId="1" fillId="14" borderId="0" xfId="0" applyFont="1" applyFill="1"/>
    <xf numFmtId="0" fontId="16" fillId="14" borderId="0" xfId="0" applyFont="1" applyFill="1"/>
    <xf numFmtId="0" fontId="16" fillId="0" borderId="0" xfId="0" applyFont="1"/>
    <xf numFmtId="0" fontId="15" fillId="14" borderId="0" xfId="0" applyFont="1" applyFill="1"/>
    <xf numFmtId="0" fontId="17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172" fontId="2" fillId="0" borderId="2" xfId="0" applyNumberFormat="1" applyFont="1" applyBorder="1"/>
    <xf numFmtId="172" fontId="2" fillId="10" borderId="2" xfId="0" applyNumberFormat="1" applyFont="1" applyFill="1" applyBorder="1"/>
    <xf numFmtId="172" fontId="2" fillId="10" borderId="6" xfId="0" applyNumberFormat="1" applyFont="1" applyFill="1" applyBorder="1"/>
    <xf numFmtId="167" fontId="3" fillId="14" borderId="0" xfId="0" applyNumberFormat="1" applyFont="1" applyFill="1"/>
    <xf numFmtId="167" fontId="3" fillId="14" borderId="4" xfId="0" applyNumberFormat="1" applyFont="1" applyFill="1" applyBorder="1"/>
    <xf numFmtId="37" fontId="2" fillId="14" borderId="0" xfId="0" applyNumberFormat="1" applyFont="1" applyFill="1"/>
    <xf numFmtId="0" fontId="2" fillId="14" borderId="0" xfId="0" applyFont="1" applyFill="1"/>
    <xf numFmtId="0" fontId="18" fillId="14" borderId="0" xfId="0" applyFont="1" applyFill="1" applyAlignment="1">
      <alignment horizontal="left"/>
    </xf>
    <xf numFmtId="172" fontId="6" fillId="5" borderId="0" xfId="0" applyNumberFormat="1" applyFont="1" applyFill="1" applyAlignment="1">
      <alignment horizontal="right"/>
    </xf>
    <xf numFmtId="172" fontId="6" fillId="10" borderId="0" xfId="0" applyNumberFormat="1" applyFont="1" applyFill="1" applyAlignment="1">
      <alignment horizontal="right"/>
    </xf>
    <xf numFmtId="172" fontId="6" fillId="10" borderId="4" xfId="0" applyNumberFormat="1" applyFont="1" applyFill="1" applyBorder="1" applyAlignment="1">
      <alignment horizontal="right"/>
    </xf>
    <xf numFmtId="165" fontId="6" fillId="5" borderId="0" xfId="0" applyNumberFormat="1" applyFont="1" applyFill="1" applyAlignment="1">
      <alignment horizontal="left"/>
    </xf>
    <xf numFmtId="170" fontId="1" fillId="10" borderId="0" xfId="0" applyNumberFormat="1" applyFont="1" applyFill="1"/>
    <xf numFmtId="170" fontId="1" fillId="10" borderId="4" xfId="0" applyNumberFormat="1" applyFont="1" applyFill="1" applyBorder="1"/>
    <xf numFmtId="0" fontId="1" fillId="3" borderId="4" xfId="0" applyFont="1" applyFill="1" applyBorder="1"/>
    <xf numFmtId="9" fontId="1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3" fontId="22" fillId="0" borderId="0" xfId="0" applyNumberFormat="1" applyFont="1"/>
    <xf numFmtId="0" fontId="23" fillId="0" borderId="0" xfId="0" applyFont="1"/>
    <xf numFmtId="3" fontId="1" fillId="0" borderId="0" xfId="0" applyNumberFormat="1" applyFont="1"/>
    <xf numFmtId="3" fontId="24" fillId="0" borderId="0" xfId="0" applyNumberFormat="1" applyFont="1"/>
    <xf numFmtId="167" fontId="1" fillId="0" borderId="0" xfId="0" applyNumberFormat="1" applyFont="1" applyAlignment="1">
      <alignment horizontal="center"/>
    </xf>
    <xf numFmtId="0" fontId="5" fillId="0" borderId="7" xfId="0" applyFont="1" applyBorder="1"/>
    <xf numFmtId="0" fontId="1" fillId="15" borderId="0" xfId="0" applyFont="1" applyFill="1"/>
    <xf numFmtId="166" fontId="1" fillId="15" borderId="0" xfId="0" applyNumberFormat="1" applyFont="1" applyFill="1" applyAlignment="1">
      <alignment horizontal="center"/>
    </xf>
    <xf numFmtId="166" fontId="2" fillId="15" borderId="0" xfId="0" applyNumberFormat="1" applyFont="1" applyFill="1" applyAlignment="1">
      <alignment horizontal="center"/>
    </xf>
    <xf numFmtId="0" fontId="5" fillId="16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6" fillId="16" borderId="0" xfId="0" applyFont="1" applyFill="1" applyAlignment="1">
      <alignment horizontal="center"/>
    </xf>
    <xf numFmtId="0" fontId="5" fillId="16" borderId="0" xfId="0" applyFont="1" applyFill="1"/>
    <xf numFmtId="166" fontId="5" fillId="16" borderId="0" xfId="0" applyNumberFormat="1" applyFont="1" applyFill="1" applyAlignment="1">
      <alignment horizontal="center"/>
    </xf>
    <xf numFmtId="166" fontId="6" fillId="16" borderId="0" xfId="0" applyNumberFormat="1" applyFont="1" applyFill="1" applyAlignment="1">
      <alignment horizontal="center"/>
    </xf>
    <xf numFmtId="167" fontId="5" fillId="0" borderId="0" xfId="0" applyNumberFormat="1" applyFont="1" applyAlignment="1">
      <alignment horizontal="center" vertical="top" wrapText="1"/>
    </xf>
    <xf numFmtId="167" fontId="1" fillId="0" borderId="1" xfId="0" applyNumberFormat="1" applyFont="1" applyBorder="1" applyAlignment="1">
      <alignment horizontal="center"/>
    </xf>
    <xf numFmtId="39" fontId="1" fillId="0" borderId="0" xfId="0" applyNumberFormat="1" applyFont="1" applyAlignment="1">
      <alignment horizontal="center"/>
    </xf>
    <xf numFmtId="39" fontId="1" fillId="0" borderId="1" xfId="0" applyNumberFormat="1" applyFont="1" applyBorder="1" applyAlignment="1">
      <alignment horizontal="center"/>
    </xf>
    <xf numFmtId="174" fontId="1" fillId="0" borderId="1" xfId="0" applyNumberFormat="1" applyFont="1" applyBorder="1" applyAlignment="1">
      <alignment horizontal="center"/>
    </xf>
    <xf numFmtId="167" fontId="25" fillId="0" borderId="0" xfId="0" applyNumberFormat="1" applyFont="1"/>
    <xf numFmtId="37" fontId="8" fillId="0" borderId="0" xfId="0" applyNumberFormat="1" applyFont="1"/>
    <xf numFmtId="167" fontId="25" fillId="10" borderId="0" xfId="0" applyNumberFormat="1" applyFont="1" applyFill="1"/>
    <xf numFmtId="177" fontId="1" fillId="10" borderId="0" xfId="0" applyNumberFormat="1" applyFont="1" applyFill="1"/>
    <xf numFmtId="167" fontId="25" fillId="10" borderId="4" xfId="0" applyNumberFormat="1" applyFont="1" applyFill="1" applyBorder="1"/>
    <xf numFmtId="177" fontId="1" fillId="10" borderId="4" xfId="0" applyNumberFormat="1" applyFont="1" applyFill="1" applyBorder="1"/>
    <xf numFmtId="0" fontId="15" fillId="14" borderId="4" xfId="0" applyFont="1" applyFill="1" applyBorder="1"/>
    <xf numFmtId="0" fontId="2" fillId="10" borderId="0" xfId="0" applyFont="1" applyFill="1"/>
    <xf numFmtId="0" fontId="2" fillId="17" borderId="0" xfId="0" applyFont="1" applyFill="1" applyAlignment="1">
      <alignment horizontal="center"/>
    </xf>
    <xf numFmtId="37" fontId="1" fillId="0" borderId="2" xfId="0" applyNumberFormat="1" applyFont="1" applyBorder="1"/>
    <xf numFmtId="0" fontId="2" fillId="0" borderId="7" xfId="0" applyFont="1" applyBorder="1"/>
    <xf numFmtId="0" fontId="1" fillId="0" borderId="10" xfId="0" applyFont="1" applyBorder="1"/>
    <xf numFmtId="179" fontId="1" fillId="0" borderId="0" xfId="0" applyNumberFormat="1" applyFont="1" applyAlignment="1">
      <alignment horizontal="center"/>
    </xf>
    <xf numFmtId="167" fontId="25" fillId="19" borderId="13" xfId="0" applyNumberFormat="1" applyFont="1" applyFill="1" applyBorder="1"/>
    <xf numFmtId="0" fontId="8" fillId="19" borderId="14" xfId="0" applyFont="1" applyFill="1" applyBorder="1"/>
    <xf numFmtId="167" fontId="25" fillId="19" borderId="14" xfId="0" applyNumberFormat="1" applyFont="1" applyFill="1" applyBorder="1"/>
    <xf numFmtId="167" fontId="1" fillId="10" borderId="0" xfId="0" applyNumberFormat="1" applyFont="1" applyFill="1"/>
    <xf numFmtId="0" fontId="1" fillId="10" borderId="9" xfId="0" applyFont="1" applyFill="1" applyBorder="1"/>
    <xf numFmtId="165" fontId="1" fillId="10" borderId="0" xfId="0" applyNumberFormat="1" applyFont="1" applyFill="1"/>
    <xf numFmtId="167" fontId="1" fillId="0" borderId="0" xfId="0" applyNumberFormat="1" applyFont="1"/>
    <xf numFmtId="167" fontId="1" fillId="0" borderId="3" xfId="0" applyNumberFormat="1" applyFont="1" applyBorder="1"/>
    <xf numFmtId="0" fontId="5" fillId="0" borderId="11" xfId="0" applyFont="1" applyBorder="1"/>
    <xf numFmtId="0" fontId="1" fillId="10" borderId="3" xfId="0" applyFont="1" applyFill="1" applyBorder="1"/>
    <xf numFmtId="167" fontId="1" fillId="10" borderId="3" xfId="0" applyNumberFormat="1" applyFont="1" applyFill="1" applyBorder="1"/>
    <xf numFmtId="167" fontId="1" fillId="10" borderId="4" xfId="0" applyNumberFormat="1" applyFont="1" applyFill="1" applyBorder="1"/>
    <xf numFmtId="167" fontId="1" fillId="10" borderId="9" xfId="0" applyNumberFormat="1" applyFont="1" applyFill="1" applyBorder="1"/>
    <xf numFmtId="37" fontId="1" fillId="10" borderId="6" xfId="0" applyNumberFormat="1" applyFont="1" applyFill="1" applyBorder="1"/>
    <xf numFmtId="0" fontId="5" fillId="20" borderId="0" xfId="0" applyFont="1" applyFill="1"/>
    <xf numFmtId="165" fontId="1" fillId="0" borderId="0" xfId="0" applyNumberFormat="1" applyFont="1"/>
    <xf numFmtId="165" fontId="5" fillId="5" borderId="0" xfId="0" applyNumberFormat="1" applyFont="1" applyFill="1" applyAlignment="1">
      <alignment horizontal="left"/>
    </xf>
    <xf numFmtId="165" fontId="5" fillId="5" borderId="0" xfId="0" applyNumberFormat="1" applyFont="1" applyFill="1"/>
    <xf numFmtId="165" fontId="5" fillId="5" borderId="0" xfId="0" applyNumberFormat="1" applyFont="1" applyFill="1" applyAlignment="1">
      <alignment horizontal="left" indent="1"/>
    </xf>
    <xf numFmtId="165" fontId="6" fillId="5" borderId="0" xfId="0" applyNumberFormat="1" applyFont="1" applyFill="1"/>
    <xf numFmtId="165" fontId="5" fillId="5" borderId="0" xfId="0" applyNumberFormat="1" applyFont="1" applyFill="1" applyAlignment="1">
      <alignment horizontal="left" indent="2"/>
    </xf>
    <xf numFmtId="165" fontId="5" fillId="10" borderId="0" xfId="0" applyNumberFormat="1" applyFont="1" applyFill="1"/>
    <xf numFmtId="165" fontId="6" fillId="10" borderId="0" xfId="0" applyNumberFormat="1" applyFont="1" applyFill="1"/>
    <xf numFmtId="165" fontId="5" fillId="10" borderId="4" xfId="0" applyNumberFormat="1" applyFont="1" applyFill="1" applyBorder="1"/>
    <xf numFmtId="165" fontId="1" fillId="10" borderId="4" xfId="0" applyNumberFormat="1" applyFont="1" applyFill="1" applyBorder="1"/>
    <xf numFmtId="165" fontId="6" fillId="10" borderId="4" xfId="0" applyNumberFormat="1" applyFont="1" applyFill="1" applyBorder="1"/>
    <xf numFmtId="165" fontId="6" fillId="5" borderId="1" xfId="0" applyNumberFormat="1" applyFont="1" applyFill="1" applyBorder="1" applyAlignment="1">
      <alignment horizontal="left"/>
    </xf>
    <xf numFmtId="172" fontId="6" fillId="5" borderId="1" xfId="0" applyNumberFormat="1" applyFont="1" applyFill="1" applyBorder="1"/>
    <xf numFmtId="172" fontId="6" fillId="10" borderId="1" xfId="0" applyNumberFormat="1" applyFont="1" applyFill="1" applyBorder="1"/>
    <xf numFmtId="172" fontId="6" fillId="10" borderId="5" xfId="0" applyNumberFormat="1" applyFont="1" applyFill="1" applyBorder="1"/>
    <xf numFmtId="37" fontId="1" fillId="10" borderId="2" xfId="0" applyNumberFormat="1" applyFont="1" applyFill="1" applyBorder="1"/>
    <xf numFmtId="37" fontId="1" fillId="0" borderId="10" xfId="0" applyNumberFormat="1" applyFont="1" applyBorder="1"/>
    <xf numFmtId="172" fontId="26" fillId="19" borderId="13" xfId="0" applyNumberFormat="1" applyFont="1" applyFill="1" applyBorder="1"/>
    <xf numFmtId="172" fontId="26" fillId="19" borderId="14" xfId="0" applyNumberFormat="1" applyFont="1" applyFill="1" applyBorder="1"/>
    <xf numFmtId="167" fontId="25" fillId="19" borderId="18" xfId="0" applyNumberFormat="1" applyFont="1" applyFill="1" applyBorder="1"/>
    <xf numFmtId="167" fontId="3" fillId="10" borderId="17" xfId="0" applyNumberFormat="1" applyFont="1" applyFill="1" applyBorder="1"/>
    <xf numFmtId="0" fontId="1" fillId="17" borderId="16" xfId="0" applyFont="1" applyFill="1" applyBorder="1"/>
    <xf numFmtId="0" fontId="1" fillId="17" borderId="14" xfId="0" applyFont="1" applyFill="1" applyBorder="1"/>
    <xf numFmtId="171" fontId="1" fillId="10" borderId="6" xfId="0" applyNumberFormat="1" applyFont="1" applyFill="1" applyBorder="1"/>
    <xf numFmtId="0" fontId="1" fillId="0" borderId="18" xfId="0" applyFont="1" applyBorder="1"/>
    <xf numFmtId="165" fontId="1" fillId="10" borderId="21" xfId="0" applyNumberFormat="1" applyFont="1" applyFill="1" applyBorder="1"/>
    <xf numFmtId="0" fontId="1" fillId="0" borderId="12" xfId="0" applyFont="1" applyBorder="1"/>
    <xf numFmtId="37" fontId="8" fillId="19" borderId="14" xfId="0" applyNumberFormat="1" applyFont="1" applyFill="1" applyBorder="1"/>
    <xf numFmtId="37" fontId="8" fillId="19" borderId="16" xfId="0" applyNumberFormat="1" applyFont="1" applyFill="1" applyBorder="1"/>
    <xf numFmtId="0" fontId="8" fillId="19" borderId="16" xfId="0" applyFont="1" applyFill="1" applyBorder="1"/>
    <xf numFmtId="170" fontId="8" fillId="19" borderId="14" xfId="0" applyNumberFormat="1" applyFont="1" applyFill="1" applyBorder="1"/>
    <xf numFmtId="170" fontId="8" fillId="19" borderId="16" xfId="0" applyNumberFormat="1" applyFont="1" applyFill="1" applyBorder="1"/>
    <xf numFmtId="170" fontId="8" fillId="19" borderId="19" xfId="0" applyNumberFormat="1" applyFont="1" applyFill="1" applyBorder="1"/>
    <xf numFmtId="167" fontId="17" fillId="18" borderId="0" xfId="0" applyNumberFormat="1" applyFont="1" applyFill="1"/>
    <xf numFmtId="167" fontId="25" fillId="19" borderId="20" xfId="0" applyNumberFormat="1" applyFont="1" applyFill="1" applyBorder="1"/>
    <xf numFmtId="182" fontId="25" fillId="19" borderId="14" xfId="0" applyNumberFormat="1" applyFont="1" applyFill="1" applyBorder="1"/>
    <xf numFmtId="182" fontId="25" fillId="19" borderId="16" xfId="0" applyNumberFormat="1" applyFont="1" applyFill="1" applyBorder="1"/>
    <xf numFmtId="182" fontId="25" fillId="19" borderId="14" xfId="0" applyNumberFormat="1" applyFont="1" applyFill="1" applyBorder="1" applyAlignment="1">
      <alignment horizontal="right"/>
    </xf>
    <xf numFmtId="182" fontId="25" fillId="19" borderId="16" xfId="0" applyNumberFormat="1" applyFont="1" applyFill="1" applyBorder="1" applyAlignment="1">
      <alignment horizontal="right"/>
    </xf>
    <xf numFmtId="37" fontId="1" fillId="0" borderId="12" xfId="0" applyNumberFormat="1" applyFont="1" applyBorder="1"/>
    <xf numFmtId="167" fontId="3" fillId="10" borderId="21" xfId="0" applyNumberFormat="1" applyFont="1" applyFill="1" applyBorder="1"/>
    <xf numFmtId="167" fontId="25" fillId="19" borderId="22" xfId="0" applyNumberFormat="1" applyFont="1" applyFill="1" applyBorder="1"/>
    <xf numFmtId="167" fontId="3" fillId="10" borderId="6" xfId="0" applyNumberFormat="1" applyFont="1" applyFill="1" applyBorder="1"/>
    <xf numFmtId="165" fontId="27" fillId="19" borderId="22" xfId="0" applyNumberFormat="1" applyFont="1" applyFill="1" applyBorder="1"/>
    <xf numFmtId="165" fontId="27" fillId="19" borderId="20" xfId="0" applyNumberFormat="1" applyFont="1" applyFill="1" applyBorder="1"/>
    <xf numFmtId="9" fontId="3" fillId="17" borderId="16" xfId="0" applyNumberFormat="1" applyFont="1" applyFill="1" applyBorder="1"/>
    <xf numFmtId="9" fontId="3" fillId="17" borderId="14" xfId="0" applyNumberFormat="1" applyFont="1" applyFill="1" applyBorder="1"/>
    <xf numFmtId="9" fontId="3" fillId="10" borderId="0" xfId="0" applyNumberFormat="1" applyFont="1" applyFill="1"/>
    <xf numFmtId="165" fontId="1" fillId="5" borderId="0" xfId="0" applyNumberFormat="1" applyFont="1" applyFill="1"/>
    <xf numFmtId="165" fontId="1" fillId="11" borderId="0" xfId="0" applyNumberFormat="1" applyFont="1" applyFill="1"/>
    <xf numFmtId="165" fontId="1" fillId="11" borderId="4" xfId="0" applyNumberFormat="1" applyFont="1" applyFill="1" applyBorder="1"/>
    <xf numFmtId="165" fontId="1" fillId="10" borderId="9" xfId="0" applyNumberFormat="1" applyFont="1" applyFill="1" applyBorder="1"/>
    <xf numFmtId="170" fontId="5" fillId="5" borderId="0" xfId="0" applyNumberFormat="1" applyFont="1" applyFill="1" applyAlignment="1">
      <alignment horizontal="left" indent="1"/>
    </xf>
    <xf numFmtId="165" fontId="1" fillId="5" borderId="0" xfId="0" applyNumberFormat="1" applyFont="1" applyFill="1" applyAlignment="1">
      <alignment horizontal="right"/>
    </xf>
    <xf numFmtId="165" fontId="1" fillId="11" borderId="0" xfId="0" applyNumberFormat="1" applyFont="1" applyFill="1" applyAlignment="1">
      <alignment horizontal="right"/>
    </xf>
    <xf numFmtId="182" fontId="3" fillId="5" borderId="0" xfId="0" applyNumberFormat="1" applyFont="1" applyFill="1" applyAlignment="1">
      <alignment horizontal="right"/>
    </xf>
    <xf numFmtId="182" fontId="3" fillId="11" borderId="0" xfId="0" applyNumberFormat="1" applyFont="1" applyFill="1" applyAlignment="1">
      <alignment horizontal="right"/>
    </xf>
    <xf numFmtId="165" fontId="6" fillId="10" borderId="6" xfId="0" applyNumberFormat="1" applyFont="1" applyFill="1" applyBorder="1"/>
    <xf numFmtId="165" fontId="1" fillId="11" borderId="4" xfId="0" applyNumberFormat="1" applyFont="1" applyFill="1" applyBorder="1" applyAlignment="1">
      <alignment horizontal="right"/>
    </xf>
    <xf numFmtId="182" fontId="3" fillId="11" borderId="4" xfId="0" applyNumberFormat="1" applyFont="1" applyFill="1" applyBorder="1" applyAlignment="1">
      <alignment horizontal="right"/>
    </xf>
    <xf numFmtId="167" fontId="8" fillId="19" borderId="3" xfId="0" applyNumberFormat="1" applyFont="1" applyFill="1" applyBorder="1"/>
    <xf numFmtId="167" fontId="8" fillId="19" borderId="0" xfId="0" applyNumberFormat="1" applyFont="1" applyFill="1"/>
    <xf numFmtId="37" fontId="8" fillId="19" borderId="0" xfId="0" applyNumberFormat="1" applyFont="1" applyFill="1"/>
    <xf numFmtId="0" fontId="1" fillId="0" borderId="7" xfId="0" applyFont="1" applyBorder="1" applyAlignment="1">
      <alignment horizontal="left" indent="1"/>
    </xf>
    <xf numFmtId="183" fontId="5" fillId="0" borderId="10" xfId="0" applyNumberFormat="1" applyFont="1" applyBorder="1" applyAlignment="1">
      <alignment horizontal="left" indent="1"/>
    </xf>
    <xf numFmtId="183" fontId="5" fillId="0" borderId="7" xfId="0" applyNumberFormat="1" applyFont="1" applyBorder="1" applyAlignment="1">
      <alignment horizontal="left" indent="1"/>
    </xf>
    <xf numFmtId="183" fontId="5" fillId="0" borderId="7" xfId="0" applyNumberFormat="1" applyFont="1" applyBorder="1" applyAlignment="1">
      <alignment horizontal="left"/>
    </xf>
    <xf numFmtId="183" fontId="5" fillId="0" borderId="11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37" fontId="1" fillId="0" borderId="3" xfId="0" applyNumberFormat="1" applyFont="1" applyBorder="1"/>
    <xf numFmtId="37" fontId="1" fillId="10" borderId="3" xfId="0" applyNumberFormat="1" applyFont="1" applyFill="1" applyBorder="1"/>
    <xf numFmtId="37" fontId="1" fillId="10" borderId="9" xfId="0" applyNumberFormat="1" applyFont="1" applyFill="1" applyBorder="1"/>
    <xf numFmtId="0" fontId="6" fillId="0" borderId="0" xfId="0" applyFont="1"/>
    <xf numFmtId="172" fontId="5" fillId="0" borderId="0" xfId="0" applyNumberFormat="1" applyFont="1"/>
    <xf numFmtId="167" fontId="8" fillId="10" borderId="0" xfId="0" applyNumberFormat="1" applyFont="1" applyFill="1"/>
    <xf numFmtId="167" fontId="8" fillId="10" borderId="3" xfId="0" applyNumberFormat="1" applyFont="1" applyFill="1" applyBorder="1"/>
    <xf numFmtId="167" fontId="5" fillId="5" borderId="3" xfId="0" applyNumberFormat="1" applyFont="1" applyFill="1" applyBorder="1"/>
    <xf numFmtId="167" fontId="1" fillId="11" borderId="3" xfId="0" applyNumberFormat="1" applyFont="1" applyFill="1" applyBorder="1"/>
    <xf numFmtId="167" fontId="8" fillId="21" borderId="3" xfId="0" applyNumberFormat="1" applyFont="1" applyFill="1" applyBorder="1"/>
    <xf numFmtId="37" fontId="7" fillId="0" borderId="7" xfId="0" applyNumberFormat="1" applyFont="1" applyBorder="1"/>
    <xf numFmtId="37" fontId="7" fillId="0" borderId="0" xfId="0" applyNumberFormat="1" applyFont="1"/>
    <xf numFmtId="37" fontId="7" fillId="10" borderId="0" xfId="0" applyNumberFormat="1" applyFont="1" applyFill="1"/>
    <xf numFmtId="37" fontId="5" fillId="5" borderId="0" xfId="0" applyNumberFormat="1" applyFont="1" applyFill="1" applyAlignment="1">
      <alignment horizontal="right"/>
    </xf>
    <xf numFmtId="37" fontId="5" fillId="10" borderId="0" xfId="0" applyNumberFormat="1" applyFont="1" applyFill="1" applyAlignment="1">
      <alignment horizontal="right"/>
    </xf>
    <xf numFmtId="37" fontId="5" fillId="10" borderId="4" xfId="0" applyNumberFormat="1" applyFont="1" applyFill="1" applyBorder="1" applyAlignment="1">
      <alignment horizontal="right"/>
    </xf>
    <xf numFmtId="37" fontId="1" fillId="11" borderId="4" xfId="0" applyNumberFormat="1" applyFont="1" applyFill="1" applyBorder="1"/>
    <xf numFmtId="37" fontId="1" fillId="5" borderId="0" xfId="0" applyNumberFormat="1" applyFont="1" applyFill="1"/>
    <xf numFmtId="37" fontId="1" fillId="11" borderId="0" xfId="0" applyNumberFormat="1" applyFont="1" applyFill="1"/>
    <xf numFmtId="37" fontId="5" fillId="5" borderId="0" xfId="0" applyNumberFormat="1" applyFont="1" applyFill="1"/>
    <xf numFmtId="37" fontId="1" fillId="11" borderId="3" xfId="0" applyNumberFormat="1" applyFont="1" applyFill="1" applyBorder="1"/>
    <xf numFmtId="37" fontId="1" fillId="11" borderId="9" xfId="0" applyNumberFormat="1" applyFont="1" applyFill="1" applyBorder="1"/>
    <xf numFmtId="37" fontId="8" fillId="21" borderId="0" xfId="0" applyNumberFormat="1" applyFont="1" applyFill="1"/>
    <xf numFmtId="37" fontId="8" fillId="5" borderId="0" xfId="0" applyNumberFormat="1" applyFont="1" applyFill="1"/>
    <xf numFmtId="37" fontId="1" fillId="15" borderId="0" xfId="0" applyNumberFormat="1" applyFont="1" applyFill="1"/>
    <xf numFmtId="37" fontId="1" fillId="5" borderId="2" xfId="0" applyNumberFormat="1" applyFont="1" applyFill="1" applyBorder="1"/>
    <xf numFmtId="37" fontId="1" fillId="11" borderId="2" xfId="0" applyNumberFormat="1" applyFont="1" applyFill="1" applyBorder="1"/>
    <xf numFmtId="37" fontId="1" fillId="11" borderId="6" xfId="0" applyNumberFormat="1" applyFont="1" applyFill="1" applyBorder="1"/>
    <xf numFmtId="0" fontId="1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37" fontId="8" fillId="15" borderId="0" xfId="0" applyNumberFormat="1" applyFont="1" applyFill="1"/>
    <xf numFmtId="0" fontId="1" fillId="0" borderId="10" xfId="0" applyFont="1" applyBorder="1" applyAlignment="1">
      <alignment horizontal="left"/>
    </xf>
    <xf numFmtId="37" fontId="1" fillId="5" borderId="3" xfId="0" applyNumberFormat="1" applyFont="1" applyFill="1" applyBorder="1"/>
    <xf numFmtId="37" fontId="5" fillId="10" borderId="0" xfId="0" applyNumberFormat="1" applyFont="1" applyFill="1"/>
    <xf numFmtId="172" fontId="2" fillId="15" borderId="1" xfId="0" applyNumberFormat="1" applyFont="1" applyFill="1" applyBorder="1"/>
    <xf numFmtId="0" fontId="5" fillId="0" borderId="0" xfId="0" applyFont="1" applyAlignment="1">
      <alignment horizontal="center" vertical="center"/>
    </xf>
    <xf numFmtId="181" fontId="6" fillId="23" borderId="0" xfId="0" applyNumberFormat="1" applyFont="1" applyFill="1" applyAlignment="1">
      <alignment horizontal="center"/>
    </xf>
    <xf numFmtId="0" fontId="28" fillId="24" borderId="0" xfId="0" applyFont="1" applyFill="1"/>
    <xf numFmtId="173" fontId="6" fillId="0" borderId="0" xfId="0" applyNumberFormat="1" applyFont="1"/>
    <xf numFmtId="164" fontId="29" fillId="0" borderId="0" xfId="0" applyNumberFormat="1" applyFont="1" applyAlignment="1">
      <alignment horizontal="center"/>
    </xf>
    <xf numFmtId="172" fontId="29" fillId="0" borderId="0" xfId="0" applyNumberFormat="1" applyFont="1"/>
    <xf numFmtId="167" fontId="17" fillId="0" borderId="0" xfId="0" applyNumberFormat="1" applyFont="1"/>
    <xf numFmtId="167" fontId="8" fillId="0" borderId="0" xfId="0" applyNumberFormat="1" applyFont="1"/>
    <xf numFmtId="0" fontId="5" fillId="0" borderId="24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183" fontId="5" fillId="0" borderId="0" xfId="0" applyNumberFormat="1" applyFont="1"/>
    <xf numFmtId="186" fontId="6" fillId="0" borderId="0" xfId="0" applyNumberFormat="1" applyFont="1"/>
    <xf numFmtId="187" fontId="5" fillId="0" borderId="0" xfId="0" applyNumberFormat="1" applyFont="1"/>
    <xf numFmtId="188" fontId="5" fillId="0" borderId="0" xfId="0" applyNumberFormat="1" applyFont="1" applyAlignment="1">
      <alignment horizontal="center"/>
    </xf>
    <xf numFmtId="164" fontId="8" fillId="0" borderId="0" xfId="0" applyNumberFormat="1" applyFont="1"/>
    <xf numFmtId="168" fontId="5" fillId="0" borderId="0" xfId="0" applyNumberFormat="1" applyFont="1"/>
    <xf numFmtId="0" fontId="5" fillId="0" borderId="23" xfId="0" applyFont="1" applyBorder="1"/>
    <xf numFmtId="168" fontId="5" fillId="0" borderId="23" xfId="0" applyNumberFormat="1" applyFont="1" applyBorder="1"/>
    <xf numFmtId="185" fontId="29" fillId="0" borderId="0" xfId="0" applyNumberFormat="1" applyFont="1"/>
    <xf numFmtId="9" fontId="5" fillId="0" borderId="0" xfId="0" applyNumberFormat="1" applyFont="1"/>
    <xf numFmtId="0" fontId="6" fillId="0" borderId="0" xfId="0" applyFont="1" applyAlignment="1">
      <alignment horizontal="left" indent="1"/>
    </xf>
    <xf numFmtId="168" fontId="6" fillId="0" borderId="0" xfId="0" applyNumberFormat="1" applyFont="1"/>
    <xf numFmtId="185" fontId="5" fillId="0" borderId="0" xfId="0" applyNumberFormat="1" applyFont="1"/>
    <xf numFmtId="190" fontId="30" fillId="0" borderId="0" xfId="0" applyNumberFormat="1" applyFont="1"/>
    <xf numFmtId="0" fontId="5" fillId="0" borderId="0" xfId="0" applyFont="1" applyAlignment="1">
      <alignment horizontal="left" indent="2"/>
    </xf>
    <xf numFmtId="191" fontId="17" fillId="0" borderId="0" xfId="0" applyNumberFormat="1" applyFont="1"/>
    <xf numFmtId="0" fontId="5" fillId="0" borderId="0" xfId="0" applyFont="1" applyAlignment="1">
      <alignment horizontal="left"/>
    </xf>
    <xf numFmtId="192" fontId="5" fillId="0" borderId="0" xfId="0" applyNumberFormat="1" applyFont="1" applyAlignment="1">
      <alignment horizontal="center"/>
    </xf>
    <xf numFmtId="0" fontId="6" fillId="0" borderId="23" xfId="0" applyFont="1" applyBorder="1"/>
    <xf numFmtId="9" fontId="17" fillId="0" borderId="0" xfId="0" applyNumberFormat="1" applyFont="1"/>
    <xf numFmtId="0" fontId="5" fillId="0" borderId="0" xfId="0" applyFont="1" applyAlignment="1">
      <alignment horizontal="left" indent="1"/>
    </xf>
    <xf numFmtId="0" fontId="5" fillId="0" borderId="23" xfId="0" applyFont="1" applyBorder="1" applyAlignment="1">
      <alignment horizontal="left"/>
    </xf>
    <xf numFmtId="192" fontId="5" fillId="0" borderId="23" xfId="0" applyNumberFormat="1" applyFont="1" applyBorder="1" applyAlignment="1">
      <alignment horizontal="center"/>
    </xf>
    <xf numFmtId="164" fontId="6" fillId="0" borderId="0" xfId="0" applyNumberFormat="1" applyFont="1"/>
    <xf numFmtId="185" fontId="6" fillId="0" borderId="0" xfId="0" applyNumberFormat="1" applyFont="1"/>
    <xf numFmtId="191" fontId="5" fillId="0" borderId="0" xfId="0" applyNumberFormat="1" applyFont="1"/>
    <xf numFmtId="0" fontId="17" fillId="0" borderId="0" xfId="0" applyFont="1" applyAlignment="1">
      <alignment horizontal="left" indent="2"/>
    </xf>
    <xf numFmtId="1" fontId="5" fillId="0" borderId="0" xfId="0" applyNumberFormat="1" applyFont="1"/>
    <xf numFmtId="184" fontId="5" fillId="0" borderId="0" xfId="0" applyNumberFormat="1" applyFont="1" applyAlignment="1">
      <alignment horizontal="center"/>
    </xf>
    <xf numFmtId="193" fontId="5" fillId="0" borderId="0" xfId="0" applyNumberFormat="1" applyFont="1" applyAlignment="1">
      <alignment horizontal="center"/>
    </xf>
    <xf numFmtId="164" fontId="5" fillId="0" borderId="0" xfId="0" applyNumberFormat="1" applyFont="1"/>
    <xf numFmtId="2" fontId="5" fillId="0" borderId="0" xfId="0" applyNumberFormat="1" applyFont="1"/>
    <xf numFmtId="0" fontId="6" fillId="0" borderId="26" xfId="0" applyFont="1" applyBorder="1"/>
    <xf numFmtId="0" fontId="5" fillId="0" borderId="26" xfId="0" applyFont="1" applyBorder="1"/>
    <xf numFmtId="164" fontId="6" fillId="0" borderId="26" xfId="0" applyNumberFormat="1" applyFont="1" applyBorder="1"/>
    <xf numFmtId="39" fontId="1" fillId="0" borderId="0" xfId="0" applyNumberFormat="1" applyFont="1"/>
    <xf numFmtId="194" fontId="1" fillId="0" borderId="0" xfId="0" applyNumberFormat="1" applyFont="1" applyAlignment="1">
      <alignment horizontal="center"/>
    </xf>
    <xf numFmtId="178" fontId="1" fillId="0" borderId="0" xfId="0" applyNumberFormat="1" applyFont="1" applyAlignment="1">
      <alignment horizontal="center"/>
    </xf>
    <xf numFmtId="0" fontId="8" fillId="0" borderId="15" xfId="0" applyFont="1" applyBorder="1"/>
    <xf numFmtId="166" fontId="8" fillId="0" borderId="1" xfId="0" applyNumberFormat="1" applyFont="1" applyBorder="1" applyAlignment="1">
      <alignment horizontal="center"/>
    </xf>
    <xf numFmtId="166" fontId="8" fillId="0" borderId="5" xfId="0" applyNumberFormat="1" applyFont="1" applyBorder="1" applyAlignment="1">
      <alignment horizontal="center"/>
    </xf>
    <xf numFmtId="195" fontId="1" fillId="0" borderId="0" xfId="0" applyNumberFormat="1" applyFont="1"/>
    <xf numFmtId="170" fontId="5" fillId="11" borderId="0" xfId="0" applyNumberFormat="1" applyFont="1" applyFill="1"/>
    <xf numFmtId="177" fontId="1" fillId="0" borderId="0" xfId="0" applyNumberFormat="1" applyFont="1" applyAlignment="1">
      <alignment horizontal="center"/>
    </xf>
    <xf numFmtId="195" fontId="1" fillId="0" borderId="0" xfId="0" applyNumberFormat="1" applyFont="1" applyAlignment="1">
      <alignment horizontal="center"/>
    </xf>
    <xf numFmtId="194" fontId="8" fillId="0" borderId="3" xfId="0" applyNumberFormat="1" applyFont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194" fontId="8" fillId="0" borderId="0" xfId="0" applyNumberFormat="1" applyFont="1" applyAlignment="1">
      <alignment horizontal="center"/>
    </xf>
    <xf numFmtId="0" fontId="5" fillId="0" borderId="10" xfId="0" applyFont="1" applyBorder="1"/>
    <xf numFmtId="194" fontId="26" fillId="0" borderId="2" xfId="0" applyNumberFormat="1" applyFont="1" applyBorder="1" applyAlignment="1">
      <alignment horizontal="center"/>
    </xf>
    <xf numFmtId="195" fontId="1" fillId="0" borderId="6" xfId="0" applyNumberFormat="1" applyFont="1" applyBorder="1" applyAlignment="1">
      <alignment horizontal="center"/>
    </xf>
    <xf numFmtId="167" fontId="1" fillId="0" borderId="4" xfId="0" applyNumberFormat="1" applyFont="1" applyBorder="1" applyAlignment="1">
      <alignment horizontal="center"/>
    </xf>
    <xf numFmtId="172" fontId="5" fillId="25" borderId="0" xfId="0" applyNumberFormat="1" applyFont="1" applyFill="1"/>
    <xf numFmtId="167" fontId="1" fillId="22" borderId="9" xfId="0" applyNumberFormat="1" applyFont="1" applyFill="1" applyBorder="1" applyAlignment="1">
      <alignment horizontal="center"/>
    </xf>
    <xf numFmtId="189" fontId="5" fillId="0" borderId="0" xfId="0" applyNumberFormat="1" applyFont="1"/>
    <xf numFmtId="39" fontId="1" fillId="0" borderId="1" xfId="0" applyNumberFormat="1" applyFont="1" applyBorder="1"/>
    <xf numFmtId="168" fontId="8" fillId="0" borderId="0" xfId="0" applyNumberFormat="1" applyFont="1"/>
    <xf numFmtId="168" fontId="6" fillId="0" borderId="23" xfId="0" applyNumberFormat="1" applyFont="1" applyBorder="1"/>
    <xf numFmtId="168" fontId="6" fillId="0" borderId="25" xfId="0" applyNumberFormat="1" applyFont="1" applyBorder="1"/>
    <xf numFmtId="9" fontId="3" fillId="22" borderId="25" xfId="0" applyNumberFormat="1" applyFont="1" applyFill="1" applyBorder="1" applyAlignment="1">
      <alignment horizontal="center"/>
    </xf>
    <xf numFmtId="4" fontId="1" fillId="0" borderId="0" xfId="0" applyNumberFormat="1" applyFont="1"/>
    <xf numFmtId="4" fontId="2" fillId="0" borderId="0" xfId="0" applyNumberFormat="1" applyFont="1"/>
    <xf numFmtId="2" fontId="1" fillId="0" borderId="0" xfId="0" applyNumberFormat="1" applyFont="1"/>
    <xf numFmtId="9" fontId="3" fillId="26" borderId="25" xfId="0" applyNumberFormat="1" applyFont="1" applyFill="1" applyBorder="1" applyAlignment="1">
      <alignment horizontal="center"/>
    </xf>
    <xf numFmtId="166" fontId="6" fillId="7" borderId="4" xfId="0" applyNumberFormat="1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180" fontId="5" fillId="16" borderId="0" xfId="0" applyNumberFormat="1" applyFont="1" applyFill="1" applyAlignment="1">
      <alignment horizontal="center"/>
    </xf>
    <xf numFmtId="0" fontId="0" fillId="15" borderId="0" xfId="0" applyFill="1"/>
    <xf numFmtId="0" fontId="2" fillId="15" borderId="0" xfId="0" applyFont="1" applyFill="1"/>
    <xf numFmtId="0" fontId="2" fillId="15" borderId="0" xfId="0" applyFont="1" applyFill="1" applyAlignment="1">
      <alignment horizontal="center"/>
    </xf>
    <xf numFmtId="0" fontId="28" fillId="15" borderId="0" xfId="0" applyFont="1" applyFill="1" applyAlignment="1">
      <alignment horizontal="center"/>
    </xf>
    <xf numFmtId="167" fontId="28" fillId="15" borderId="0" xfId="0" applyNumberFormat="1" applyFont="1" applyFill="1"/>
    <xf numFmtId="196" fontId="1" fillId="15" borderId="0" xfId="0" applyNumberFormat="1" applyFont="1" applyFill="1" applyAlignment="1">
      <alignment horizontal="center"/>
    </xf>
    <xf numFmtId="196" fontId="2" fillId="15" borderId="0" xfId="0" applyNumberFormat="1" applyFont="1" applyFill="1" applyAlignment="1">
      <alignment horizontal="center"/>
    </xf>
    <xf numFmtId="0" fontId="31" fillId="15" borderId="0" xfId="0" applyFont="1" applyFill="1"/>
    <xf numFmtId="195" fontId="1" fillId="0" borderId="2" xfId="0" applyNumberFormat="1" applyFont="1" applyBorder="1"/>
    <xf numFmtId="9" fontId="1" fillId="22" borderId="0" xfId="0" applyNumberFormat="1" applyFont="1" applyFill="1"/>
    <xf numFmtId="167" fontId="1" fillId="22" borderId="3" xfId="0" applyNumberFormat="1" applyFont="1" applyFill="1" applyBorder="1"/>
    <xf numFmtId="195" fontId="2" fillId="0" borderId="0" xfId="0" applyNumberFormat="1" applyFont="1"/>
    <xf numFmtId="10" fontId="1" fillId="22" borderId="0" xfId="0" applyNumberFormat="1" applyFont="1" applyFill="1"/>
    <xf numFmtId="0" fontId="15" fillId="13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6" fillId="13" borderId="0" xfId="0" applyFont="1" applyFill="1" applyAlignment="1">
      <alignment horizontal="center"/>
    </xf>
    <xf numFmtId="0" fontId="15" fillId="13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276221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375623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colors>
    <mruColors>
      <color rgb="FFC6EFCE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31-5C4B-88CE-931EA13C0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31-5C4B-88CE-931EA13C0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31-5C4B-88CE-931EA13C0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31-5C4B-88CE-931EA13C03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Garamond" panose="02020404030301010803" pitchFamily="18" charset="0"/>
                    <a:ea typeface="+mn-ea"/>
                    <a:cs typeface="+mn-cs"/>
                  </a:defRPr>
                </a:pPr>
                <a:endParaRPr lang="en-T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'Graphs for the Deck'!$B$3:$B$6</c:f>
              <c:strCache>
                <c:ptCount val="4"/>
                <c:pt idx="0">
                  <c:v>Energy Revenue</c:v>
                </c:pt>
                <c:pt idx="1">
                  <c:v>Capacity Revenue</c:v>
                </c:pt>
                <c:pt idx="2">
                  <c:v>Physical Bilateral Contracts</c:v>
                </c:pt>
                <c:pt idx="3">
                  <c:v>Other</c:v>
                </c:pt>
              </c:strCache>
            </c:strRef>
          </c:cat>
          <c:val>
            <c:numRef>
              <c:f>'Graphs for the Deck'!$C$3:$C$6</c:f>
              <c:numCache>
                <c:formatCode>0%</c:formatCode>
                <c:ptCount val="4"/>
                <c:pt idx="0">
                  <c:v>0.75</c:v>
                </c:pt>
                <c:pt idx="1">
                  <c:v>0.19</c:v>
                </c:pt>
                <c:pt idx="2">
                  <c:v>0.04</c:v>
                </c:pt>
                <c:pt idx="3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E-B346-9ECC-0613717EF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3.0555555555555555E-2"/>
          <c:y val="0.33778871391076115"/>
          <c:w val="0.30461440559303399"/>
          <c:h val="0.291308805461923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n-T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Garamond" panose="02020404030301010803" pitchFamily="18" charset="0"/>
        </a:defRPr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'Graphs for the Deck'!$C$19</c:f>
              <c:strCache>
                <c:ptCount val="1"/>
                <c:pt idx="0">
                  <c:v>Close 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'Graphs for the Deck'!$B$20:$B$271</c:f>
              <c:strCache>
                <c:ptCount val="252"/>
                <c:pt idx="0">
                  <c:v>Apr 21, 2026</c:v>
                </c:pt>
                <c:pt idx="1">
                  <c:v>Apr 20, 2026</c:v>
                </c:pt>
                <c:pt idx="2">
                  <c:v>Apr 17, 2026</c:v>
                </c:pt>
                <c:pt idx="3">
                  <c:v>Apr 16, 2026</c:v>
                </c:pt>
                <c:pt idx="4">
                  <c:v>Apr 15, 2026</c:v>
                </c:pt>
                <c:pt idx="5">
                  <c:v>Apr 14, 2026</c:v>
                </c:pt>
                <c:pt idx="6">
                  <c:v>Apr 13, 2026</c:v>
                </c:pt>
                <c:pt idx="7">
                  <c:v>Apr 10, 2026</c:v>
                </c:pt>
                <c:pt idx="8">
                  <c:v>Apr 9, 2026</c:v>
                </c:pt>
                <c:pt idx="9">
                  <c:v>Apr 8, 2026</c:v>
                </c:pt>
                <c:pt idx="10">
                  <c:v>Apr 7, 2026</c:v>
                </c:pt>
                <c:pt idx="11">
                  <c:v>Apr 6, 2026</c:v>
                </c:pt>
                <c:pt idx="12">
                  <c:v>Apr 2, 2026</c:v>
                </c:pt>
                <c:pt idx="13">
                  <c:v>Apr 1, 2026</c:v>
                </c:pt>
                <c:pt idx="14">
                  <c:v>Mar 31, 2026</c:v>
                </c:pt>
                <c:pt idx="15">
                  <c:v>Mar 30, 2026</c:v>
                </c:pt>
                <c:pt idx="16">
                  <c:v>Mar 27, 2026</c:v>
                </c:pt>
                <c:pt idx="17">
                  <c:v>Mar 26, 2026</c:v>
                </c:pt>
                <c:pt idx="18">
                  <c:v>Mar 25, 2026</c:v>
                </c:pt>
                <c:pt idx="19">
                  <c:v>Mar 24, 2026</c:v>
                </c:pt>
                <c:pt idx="20">
                  <c:v>Mar 23, 2026</c:v>
                </c:pt>
                <c:pt idx="21">
                  <c:v>Mar 20, 2026</c:v>
                </c:pt>
                <c:pt idx="22">
                  <c:v>Mar 19, 2026</c:v>
                </c:pt>
                <c:pt idx="23">
                  <c:v>Mar 18, 2026</c:v>
                </c:pt>
                <c:pt idx="24">
                  <c:v>Mar 17, 2026</c:v>
                </c:pt>
                <c:pt idx="25">
                  <c:v>Mar 16, 2026</c:v>
                </c:pt>
                <c:pt idx="26">
                  <c:v>Mar 13, 2026</c:v>
                </c:pt>
                <c:pt idx="27">
                  <c:v>Mar 12, 2026</c:v>
                </c:pt>
                <c:pt idx="28">
                  <c:v>Mar 11, 2026</c:v>
                </c:pt>
                <c:pt idx="29">
                  <c:v>Mar 10, 2026</c:v>
                </c:pt>
                <c:pt idx="30">
                  <c:v>Mar 9, 2026</c:v>
                </c:pt>
                <c:pt idx="31">
                  <c:v>Mar 6, 2026</c:v>
                </c:pt>
                <c:pt idx="32">
                  <c:v>Mar 5, 2026</c:v>
                </c:pt>
                <c:pt idx="33">
                  <c:v>Mar 4, 2026</c:v>
                </c:pt>
                <c:pt idx="34">
                  <c:v>Mar 3, 2026</c:v>
                </c:pt>
                <c:pt idx="35">
                  <c:v>Mar 2, 2026</c:v>
                </c:pt>
                <c:pt idx="36">
                  <c:v>Feb 27, 2026</c:v>
                </c:pt>
                <c:pt idx="37">
                  <c:v>Feb 26, 2026</c:v>
                </c:pt>
                <c:pt idx="38">
                  <c:v>Feb 25, 2026</c:v>
                </c:pt>
                <c:pt idx="39">
                  <c:v>Feb 24, 2026</c:v>
                </c:pt>
                <c:pt idx="40">
                  <c:v>Feb 23, 2026</c:v>
                </c:pt>
                <c:pt idx="41">
                  <c:v>Feb 20, 2026</c:v>
                </c:pt>
                <c:pt idx="42">
                  <c:v>Feb 19, 2026</c:v>
                </c:pt>
                <c:pt idx="43">
                  <c:v>Feb 18, 2026</c:v>
                </c:pt>
                <c:pt idx="44">
                  <c:v>Feb 17, 2026</c:v>
                </c:pt>
                <c:pt idx="45">
                  <c:v>Feb 13, 2026</c:v>
                </c:pt>
                <c:pt idx="46">
                  <c:v>Feb 12, 2026</c:v>
                </c:pt>
                <c:pt idx="47">
                  <c:v>Feb 11, 2026</c:v>
                </c:pt>
                <c:pt idx="48">
                  <c:v>Feb 10, 2026</c:v>
                </c:pt>
                <c:pt idx="49">
                  <c:v>Feb 9, 2026</c:v>
                </c:pt>
                <c:pt idx="50">
                  <c:v>Feb 6, 2026</c:v>
                </c:pt>
                <c:pt idx="51">
                  <c:v>Feb 5, 2026</c:v>
                </c:pt>
                <c:pt idx="52">
                  <c:v>Feb 4, 2026</c:v>
                </c:pt>
                <c:pt idx="53">
                  <c:v>Feb 3, 2026</c:v>
                </c:pt>
                <c:pt idx="54">
                  <c:v>Feb 2, 2026</c:v>
                </c:pt>
                <c:pt idx="55">
                  <c:v>Jan 30, 2026</c:v>
                </c:pt>
                <c:pt idx="56">
                  <c:v>Jan 29, 2026</c:v>
                </c:pt>
                <c:pt idx="57">
                  <c:v>Jan 28, 2026</c:v>
                </c:pt>
                <c:pt idx="58">
                  <c:v>Jan 27, 2026</c:v>
                </c:pt>
                <c:pt idx="59">
                  <c:v>Jan 26, 2026</c:v>
                </c:pt>
                <c:pt idx="60">
                  <c:v>Jan 23, 2026</c:v>
                </c:pt>
                <c:pt idx="61">
                  <c:v>Jan 22, 2026</c:v>
                </c:pt>
                <c:pt idx="62">
                  <c:v>Jan 21, 2026</c:v>
                </c:pt>
                <c:pt idx="63">
                  <c:v>Jan 20, 2026</c:v>
                </c:pt>
                <c:pt idx="64">
                  <c:v>Jan 16, 2026</c:v>
                </c:pt>
                <c:pt idx="65">
                  <c:v>Jan 15, 2026</c:v>
                </c:pt>
                <c:pt idx="66">
                  <c:v>Jan 14, 2026</c:v>
                </c:pt>
                <c:pt idx="67">
                  <c:v>Jan 13, 2026</c:v>
                </c:pt>
                <c:pt idx="68">
                  <c:v>Jan 12, 2026</c:v>
                </c:pt>
                <c:pt idx="69">
                  <c:v>Jan 9, 2026</c:v>
                </c:pt>
                <c:pt idx="70">
                  <c:v>Jan 8, 2026</c:v>
                </c:pt>
                <c:pt idx="71">
                  <c:v>Jan 7, 2026</c:v>
                </c:pt>
                <c:pt idx="72">
                  <c:v>Jan 6, 2026</c:v>
                </c:pt>
                <c:pt idx="73">
                  <c:v>Jan 5, 2026</c:v>
                </c:pt>
                <c:pt idx="74">
                  <c:v>Jan 2, 2026</c:v>
                </c:pt>
                <c:pt idx="75">
                  <c:v>Dec 31, 2025</c:v>
                </c:pt>
                <c:pt idx="76">
                  <c:v>Dec 30, 2025</c:v>
                </c:pt>
                <c:pt idx="77">
                  <c:v>Dec 29, 2025</c:v>
                </c:pt>
                <c:pt idx="78">
                  <c:v>Dec 26, 2025</c:v>
                </c:pt>
                <c:pt idx="79">
                  <c:v>Dec 24, 2025</c:v>
                </c:pt>
                <c:pt idx="80">
                  <c:v>Dec 23, 2025</c:v>
                </c:pt>
                <c:pt idx="81">
                  <c:v>Dec 22, 2025</c:v>
                </c:pt>
                <c:pt idx="82">
                  <c:v>Dec 19, 2025</c:v>
                </c:pt>
                <c:pt idx="83">
                  <c:v>Dec 18, 2025</c:v>
                </c:pt>
                <c:pt idx="84">
                  <c:v>Dec 17, 2025</c:v>
                </c:pt>
                <c:pt idx="85">
                  <c:v>Dec 16, 2025</c:v>
                </c:pt>
                <c:pt idx="86">
                  <c:v>Dec 15, 2025</c:v>
                </c:pt>
                <c:pt idx="87">
                  <c:v>Dec 12, 2025</c:v>
                </c:pt>
                <c:pt idx="88">
                  <c:v>Dec 11, 2025</c:v>
                </c:pt>
                <c:pt idx="89">
                  <c:v>Dec 10, 2025</c:v>
                </c:pt>
                <c:pt idx="90">
                  <c:v>Dec 9, 2025</c:v>
                </c:pt>
                <c:pt idx="91">
                  <c:v>Dec 8, 2025</c:v>
                </c:pt>
                <c:pt idx="92">
                  <c:v>Dec 5, 2025</c:v>
                </c:pt>
                <c:pt idx="93">
                  <c:v>Dec 4, 2025</c:v>
                </c:pt>
                <c:pt idx="94">
                  <c:v>Dec 3, 2025</c:v>
                </c:pt>
                <c:pt idx="95">
                  <c:v>Dec 2, 2025</c:v>
                </c:pt>
                <c:pt idx="96">
                  <c:v>Dec 1, 2025</c:v>
                </c:pt>
                <c:pt idx="97">
                  <c:v>Nov 28, 2025</c:v>
                </c:pt>
                <c:pt idx="98">
                  <c:v>Nov 26, 2025</c:v>
                </c:pt>
                <c:pt idx="99">
                  <c:v>Nov 25, 2025</c:v>
                </c:pt>
                <c:pt idx="100">
                  <c:v>Nov 24, 2025</c:v>
                </c:pt>
                <c:pt idx="101">
                  <c:v>Nov 21, 2025</c:v>
                </c:pt>
                <c:pt idx="102">
                  <c:v>Nov 20, 2025</c:v>
                </c:pt>
                <c:pt idx="103">
                  <c:v>Nov 19, 2025</c:v>
                </c:pt>
                <c:pt idx="104">
                  <c:v>Nov 18, 2025</c:v>
                </c:pt>
                <c:pt idx="105">
                  <c:v>Nov 17, 2025</c:v>
                </c:pt>
                <c:pt idx="106">
                  <c:v>Nov 14, 2025</c:v>
                </c:pt>
                <c:pt idx="107">
                  <c:v>Nov 13, 2025</c:v>
                </c:pt>
                <c:pt idx="108">
                  <c:v>Nov 12, 2025</c:v>
                </c:pt>
                <c:pt idx="109">
                  <c:v>Nov 11, 2025</c:v>
                </c:pt>
                <c:pt idx="110">
                  <c:v>Nov 10, 2025</c:v>
                </c:pt>
                <c:pt idx="111">
                  <c:v>Nov 7, 2025</c:v>
                </c:pt>
                <c:pt idx="112">
                  <c:v>Nov 6, 2025</c:v>
                </c:pt>
                <c:pt idx="113">
                  <c:v>Nov 5, 2025</c:v>
                </c:pt>
                <c:pt idx="114">
                  <c:v>Nov 4, 2025</c:v>
                </c:pt>
                <c:pt idx="115">
                  <c:v>Nov 3, 2025</c:v>
                </c:pt>
                <c:pt idx="116">
                  <c:v>Oct 31, 2025</c:v>
                </c:pt>
                <c:pt idx="117">
                  <c:v>Oct 30, 2025</c:v>
                </c:pt>
                <c:pt idx="118">
                  <c:v>Oct 29, 2025</c:v>
                </c:pt>
                <c:pt idx="119">
                  <c:v>Oct 28, 2025</c:v>
                </c:pt>
                <c:pt idx="120">
                  <c:v>Oct 27, 2025</c:v>
                </c:pt>
                <c:pt idx="121">
                  <c:v>Oct 24, 2025</c:v>
                </c:pt>
                <c:pt idx="122">
                  <c:v>Oct 23, 2025</c:v>
                </c:pt>
                <c:pt idx="123">
                  <c:v>Oct 22, 2025</c:v>
                </c:pt>
                <c:pt idx="124">
                  <c:v>Oct 21, 2025</c:v>
                </c:pt>
                <c:pt idx="125">
                  <c:v>Oct 20, 2025</c:v>
                </c:pt>
                <c:pt idx="126">
                  <c:v>Oct 17, 2025</c:v>
                </c:pt>
                <c:pt idx="127">
                  <c:v>Oct 16, 2025</c:v>
                </c:pt>
                <c:pt idx="128">
                  <c:v>Oct 15, 2025</c:v>
                </c:pt>
                <c:pt idx="129">
                  <c:v>Oct 14, 2025</c:v>
                </c:pt>
                <c:pt idx="130">
                  <c:v>Oct 13, 2025</c:v>
                </c:pt>
                <c:pt idx="131">
                  <c:v>Oct 10, 2025</c:v>
                </c:pt>
                <c:pt idx="132">
                  <c:v>Oct 9, 2025</c:v>
                </c:pt>
                <c:pt idx="133">
                  <c:v>Oct 8, 2025</c:v>
                </c:pt>
                <c:pt idx="134">
                  <c:v>Oct 7, 2025</c:v>
                </c:pt>
                <c:pt idx="135">
                  <c:v>Oct 6, 2025</c:v>
                </c:pt>
                <c:pt idx="136">
                  <c:v>Oct 3, 2025</c:v>
                </c:pt>
                <c:pt idx="137">
                  <c:v>Oct 2, 2025</c:v>
                </c:pt>
                <c:pt idx="138">
                  <c:v>Oct 1, 2025</c:v>
                </c:pt>
                <c:pt idx="139">
                  <c:v>Sep 30, 2025</c:v>
                </c:pt>
                <c:pt idx="140">
                  <c:v>Sep 29, 2025</c:v>
                </c:pt>
                <c:pt idx="141">
                  <c:v>Sep 26, 2025</c:v>
                </c:pt>
                <c:pt idx="142">
                  <c:v>Sep 25, 2025</c:v>
                </c:pt>
                <c:pt idx="143">
                  <c:v>Sep 24, 2025</c:v>
                </c:pt>
                <c:pt idx="144">
                  <c:v>Sep 23, 2025</c:v>
                </c:pt>
                <c:pt idx="145">
                  <c:v>Sep 22, 2025</c:v>
                </c:pt>
                <c:pt idx="146">
                  <c:v>Sep 19, 2025</c:v>
                </c:pt>
                <c:pt idx="147">
                  <c:v>Sep 18, 2025</c:v>
                </c:pt>
                <c:pt idx="148">
                  <c:v>Sep 17, 2025</c:v>
                </c:pt>
                <c:pt idx="149">
                  <c:v>Sep 16, 2025</c:v>
                </c:pt>
                <c:pt idx="150">
                  <c:v>Sep 15, 2025</c:v>
                </c:pt>
                <c:pt idx="151">
                  <c:v>Sep 12, 2025</c:v>
                </c:pt>
                <c:pt idx="152">
                  <c:v>Sep 11, 2025</c:v>
                </c:pt>
                <c:pt idx="153">
                  <c:v>Sep 10, 2025</c:v>
                </c:pt>
                <c:pt idx="154">
                  <c:v>Sep 9, 2025</c:v>
                </c:pt>
                <c:pt idx="155">
                  <c:v>Sep 8, 2025</c:v>
                </c:pt>
                <c:pt idx="156">
                  <c:v>Sep 5, 2025</c:v>
                </c:pt>
                <c:pt idx="157">
                  <c:v>Sep 4, 2025</c:v>
                </c:pt>
                <c:pt idx="158">
                  <c:v>Sep 3, 2025</c:v>
                </c:pt>
                <c:pt idx="159">
                  <c:v>Sep 2, 2025</c:v>
                </c:pt>
                <c:pt idx="160">
                  <c:v>Aug 29, 2025</c:v>
                </c:pt>
                <c:pt idx="161">
                  <c:v>Aug 28, 2025</c:v>
                </c:pt>
                <c:pt idx="162">
                  <c:v>Aug 27, 2025</c:v>
                </c:pt>
                <c:pt idx="163">
                  <c:v>Aug 26, 2025</c:v>
                </c:pt>
                <c:pt idx="164">
                  <c:v>Aug 25, 2025</c:v>
                </c:pt>
                <c:pt idx="165">
                  <c:v>Aug 22, 2025</c:v>
                </c:pt>
                <c:pt idx="166">
                  <c:v>Aug 21, 2025</c:v>
                </c:pt>
                <c:pt idx="167">
                  <c:v>Aug 20, 2025</c:v>
                </c:pt>
                <c:pt idx="168">
                  <c:v>Aug 19, 2025</c:v>
                </c:pt>
                <c:pt idx="169">
                  <c:v>Aug 18, 2025</c:v>
                </c:pt>
                <c:pt idx="170">
                  <c:v>Aug 15, 2025</c:v>
                </c:pt>
                <c:pt idx="171">
                  <c:v>Aug 14, 2025</c:v>
                </c:pt>
                <c:pt idx="172">
                  <c:v>Aug 13, 2025</c:v>
                </c:pt>
                <c:pt idx="173">
                  <c:v>Aug 12, 2025</c:v>
                </c:pt>
                <c:pt idx="174">
                  <c:v>Aug 11, 2025</c:v>
                </c:pt>
                <c:pt idx="175">
                  <c:v>Aug 8, 2025</c:v>
                </c:pt>
                <c:pt idx="176">
                  <c:v>Aug 7, 2025</c:v>
                </c:pt>
                <c:pt idx="177">
                  <c:v>Aug 6, 2025</c:v>
                </c:pt>
                <c:pt idx="178">
                  <c:v>Aug 5, 2025</c:v>
                </c:pt>
                <c:pt idx="179">
                  <c:v>Aug 4, 2025</c:v>
                </c:pt>
                <c:pt idx="180">
                  <c:v>Aug 1, 2025</c:v>
                </c:pt>
                <c:pt idx="181">
                  <c:v>Jul 31, 2025</c:v>
                </c:pt>
                <c:pt idx="182">
                  <c:v>Jul 30, 2025</c:v>
                </c:pt>
                <c:pt idx="183">
                  <c:v>Jul 29, 2025</c:v>
                </c:pt>
                <c:pt idx="184">
                  <c:v>Jul 28, 2025</c:v>
                </c:pt>
                <c:pt idx="185">
                  <c:v>Jul 25, 2025</c:v>
                </c:pt>
                <c:pt idx="186">
                  <c:v>Jul 24, 2025</c:v>
                </c:pt>
                <c:pt idx="187">
                  <c:v>Jul 23, 2025</c:v>
                </c:pt>
                <c:pt idx="188">
                  <c:v>Jul 22, 2025</c:v>
                </c:pt>
                <c:pt idx="189">
                  <c:v>Jul 21, 2025</c:v>
                </c:pt>
                <c:pt idx="190">
                  <c:v>Jul 18, 2025</c:v>
                </c:pt>
                <c:pt idx="191">
                  <c:v>Jul 17, 2025</c:v>
                </c:pt>
                <c:pt idx="192">
                  <c:v>Jul 16, 2025</c:v>
                </c:pt>
                <c:pt idx="193">
                  <c:v>Jul 15, 2025</c:v>
                </c:pt>
                <c:pt idx="194">
                  <c:v>Jul 14, 2025</c:v>
                </c:pt>
                <c:pt idx="195">
                  <c:v>Jul 11, 2025</c:v>
                </c:pt>
                <c:pt idx="196">
                  <c:v>Jul 10, 2025</c:v>
                </c:pt>
                <c:pt idx="197">
                  <c:v>Jul 9, 2025</c:v>
                </c:pt>
                <c:pt idx="198">
                  <c:v>Jul 8, 2025</c:v>
                </c:pt>
                <c:pt idx="199">
                  <c:v>Jul 7, 2025</c:v>
                </c:pt>
                <c:pt idx="200">
                  <c:v>Jul 3, 2025</c:v>
                </c:pt>
                <c:pt idx="201">
                  <c:v>Jul 2, 2025</c:v>
                </c:pt>
                <c:pt idx="202">
                  <c:v>Jul 1, 2025</c:v>
                </c:pt>
                <c:pt idx="203">
                  <c:v>Jun 30, 2025</c:v>
                </c:pt>
                <c:pt idx="204">
                  <c:v>Jun 27, 2025</c:v>
                </c:pt>
                <c:pt idx="205">
                  <c:v>Jun 26, 2025</c:v>
                </c:pt>
                <c:pt idx="206">
                  <c:v>Jun 25, 2025</c:v>
                </c:pt>
                <c:pt idx="207">
                  <c:v>Jun 24, 2025</c:v>
                </c:pt>
                <c:pt idx="208">
                  <c:v>Jun 23, 2025</c:v>
                </c:pt>
                <c:pt idx="209">
                  <c:v>Jun 20, 2025</c:v>
                </c:pt>
                <c:pt idx="210">
                  <c:v>Jun 18, 2025</c:v>
                </c:pt>
                <c:pt idx="211">
                  <c:v>Jun 17, 2025</c:v>
                </c:pt>
                <c:pt idx="212">
                  <c:v>Jun 16, 2025</c:v>
                </c:pt>
                <c:pt idx="213">
                  <c:v>Jun 13, 2025</c:v>
                </c:pt>
                <c:pt idx="214">
                  <c:v>Jun 12, 2025</c:v>
                </c:pt>
                <c:pt idx="215">
                  <c:v>Jun 11, 2025</c:v>
                </c:pt>
                <c:pt idx="216">
                  <c:v>Jun 10, 2025</c:v>
                </c:pt>
                <c:pt idx="217">
                  <c:v>Jun 9, 2025</c:v>
                </c:pt>
                <c:pt idx="218">
                  <c:v>Jun 6, 2025</c:v>
                </c:pt>
                <c:pt idx="219">
                  <c:v>Jun 5, 2025</c:v>
                </c:pt>
                <c:pt idx="220">
                  <c:v>Jun 4, 2025</c:v>
                </c:pt>
                <c:pt idx="221">
                  <c:v>Jun 3, 2025</c:v>
                </c:pt>
                <c:pt idx="222">
                  <c:v>Jun 2, 2025</c:v>
                </c:pt>
                <c:pt idx="223">
                  <c:v>May 30, 2025</c:v>
                </c:pt>
                <c:pt idx="224">
                  <c:v>May 29, 2025</c:v>
                </c:pt>
                <c:pt idx="225">
                  <c:v>May 28, 2025</c:v>
                </c:pt>
                <c:pt idx="226">
                  <c:v>May 27, 2025</c:v>
                </c:pt>
                <c:pt idx="227">
                  <c:v>May 23, 2025</c:v>
                </c:pt>
                <c:pt idx="228">
                  <c:v>May 22, 2025</c:v>
                </c:pt>
                <c:pt idx="229">
                  <c:v>May 21, 2025</c:v>
                </c:pt>
                <c:pt idx="230">
                  <c:v>May 20, 2025</c:v>
                </c:pt>
                <c:pt idx="231">
                  <c:v>May 19, 2025</c:v>
                </c:pt>
                <c:pt idx="232">
                  <c:v>May 16, 2025</c:v>
                </c:pt>
                <c:pt idx="233">
                  <c:v>May 15, 2025</c:v>
                </c:pt>
                <c:pt idx="234">
                  <c:v>May 14, 2025</c:v>
                </c:pt>
                <c:pt idx="235">
                  <c:v>May 13, 2025</c:v>
                </c:pt>
                <c:pt idx="236">
                  <c:v>May 12, 2025</c:v>
                </c:pt>
                <c:pt idx="237">
                  <c:v>May 9, 2025</c:v>
                </c:pt>
                <c:pt idx="238">
                  <c:v>May 8, 2025</c:v>
                </c:pt>
                <c:pt idx="239">
                  <c:v>May 7, 2025</c:v>
                </c:pt>
                <c:pt idx="240">
                  <c:v>May 6, 2025</c:v>
                </c:pt>
                <c:pt idx="241">
                  <c:v>May 5, 2025</c:v>
                </c:pt>
                <c:pt idx="242">
                  <c:v>May 2, 2025</c:v>
                </c:pt>
                <c:pt idx="243">
                  <c:v>May 1, 2025</c:v>
                </c:pt>
                <c:pt idx="244">
                  <c:v>Apr 30, 2025</c:v>
                </c:pt>
                <c:pt idx="245">
                  <c:v>Apr 29, 2025</c:v>
                </c:pt>
                <c:pt idx="246">
                  <c:v>Apr 28, 2025</c:v>
                </c:pt>
                <c:pt idx="247">
                  <c:v>Apr 25, 2025</c:v>
                </c:pt>
                <c:pt idx="248">
                  <c:v>Apr 24, 2025</c:v>
                </c:pt>
                <c:pt idx="249">
                  <c:v>Apr 23, 2025</c:v>
                </c:pt>
                <c:pt idx="250">
                  <c:v>Apr 22, 2025</c:v>
                </c:pt>
                <c:pt idx="251">
                  <c:v>Apr 21, 2025</c:v>
                </c:pt>
              </c:strCache>
            </c:strRef>
          </c:cat>
          <c:val>
            <c:numRef>
              <c:f>'Graphs for the Deck'!$C$20:$C$271</c:f>
              <c:numCache>
                <c:formatCode>General</c:formatCode>
                <c:ptCount val="252"/>
                <c:pt idx="0">
                  <c:v>336.12</c:v>
                </c:pt>
                <c:pt idx="1">
                  <c:v>346.26</c:v>
                </c:pt>
                <c:pt idx="2">
                  <c:v>365.35</c:v>
                </c:pt>
                <c:pt idx="3">
                  <c:v>362.4</c:v>
                </c:pt>
                <c:pt idx="4">
                  <c:v>353.3</c:v>
                </c:pt>
                <c:pt idx="5">
                  <c:v>345.76</c:v>
                </c:pt>
                <c:pt idx="6">
                  <c:v>326.08</c:v>
                </c:pt>
                <c:pt idx="7">
                  <c:v>321.33</c:v>
                </c:pt>
                <c:pt idx="8">
                  <c:v>312.76</c:v>
                </c:pt>
                <c:pt idx="9">
                  <c:v>328.65</c:v>
                </c:pt>
                <c:pt idx="10">
                  <c:v>330.07</c:v>
                </c:pt>
                <c:pt idx="11">
                  <c:v>324.08999999999997</c:v>
                </c:pt>
                <c:pt idx="12">
                  <c:v>327.58</c:v>
                </c:pt>
                <c:pt idx="13">
                  <c:v>328.08</c:v>
                </c:pt>
                <c:pt idx="14">
                  <c:v>319.23</c:v>
                </c:pt>
                <c:pt idx="15">
                  <c:v>313.02999999999997</c:v>
                </c:pt>
                <c:pt idx="16">
                  <c:v>324.54000000000002</c:v>
                </c:pt>
                <c:pt idx="17">
                  <c:v>323.13</c:v>
                </c:pt>
                <c:pt idx="18">
                  <c:v>328.29</c:v>
                </c:pt>
                <c:pt idx="19">
                  <c:v>315.77</c:v>
                </c:pt>
                <c:pt idx="20">
                  <c:v>311.02</c:v>
                </c:pt>
                <c:pt idx="21">
                  <c:v>302.97000000000003</c:v>
                </c:pt>
                <c:pt idx="22">
                  <c:v>340.07</c:v>
                </c:pt>
                <c:pt idx="23">
                  <c:v>338.6</c:v>
                </c:pt>
                <c:pt idx="24">
                  <c:v>327.14</c:v>
                </c:pt>
                <c:pt idx="25">
                  <c:v>317.60000000000002</c:v>
                </c:pt>
                <c:pt idx="26">
                  <c:v>316.14</c:v>
                </c:pt>
                <c:pt idx="27">
                  <c:v>311.45</c:v>
                </c:pt>
                <c:pt idx="28">
                  <c:v>316.22000000000003</c:v>
                </c:pt>
                <c:pt idx="29">
                  <c:v>331.58</c:v>
                </c:pt>
                <c:pt idx="30">
                  <c:v>335.11</c:v>
                </c:pt>
                <c:pt idx="31">
                  <c:v>320.56</c:v>
                </c:pt>
                <c:pt idx="32">
                  <c:v>334.86</c:v>
                </c:pt>
                <c:pt idx="33">
                  <c:v>336.57</c:v>
                </c:pt>
                <c:pt idx="34">
                  <c:v>341.39</c:v>
                </c:pt>
                <c:pt idx="35">
                  <c:v>353.24</c:v>
                </c:pt>
                <c:pt idx="36">
                  <c:v>370.97</c:v>
                </c:pt>
                <c:pt idx="37">
                  <c:v>390.05</c:v>
                </c:pt>
                <c:pt idx="38">
                  <c:v>391.43</c:v>
                </c:pt>
                <c:pt idx="39">
                  <c:v>375.24</c:v>
                </c:pt>
                <c:pt idx="40">
                  <c:v>367.84</c:v>
                </c:pt>
                <c:pt idx="41">
                  <c:v>382.25</c:v>
                </c:pt>
                <c:pt idx="42">
                  <c:v>380.06</c:v>
                </c:pt>
                <c:pt idx="43">
                  <c:v>380.29</c:v>
                </c:pt>
                <c:pt idx="44">
                  <c:v>388.28</c:v>
                </c:pt>
                <c:pt idx="45">
                  <c:v>376.7</c:v>
                </c:pt>
                <c:pt idx="46">
                  <c:v>367.81</c:v>
                </c:pt>
                <c:pt idx="47">
                  <c:v>354.62</c:v>
                </c:pt>
                <c:pt idx="48">
                  <c:v>357.93</c:v>
                </c:pt>
                <c:pt idx="49">
                  <c:v>353.66</c:v>
                </c:pt>
                <c:pt idx="50">
                  <c:v>345</c:v>
                </c:pt>
                <c:pt idx="51">
                  <c:v>324.63</c:v>
                </c:pt>
                <c:pt idx="52">
                  <c:v>317.05</c:v>
                </c:pt>
                <c:pt idx="53">
                  <c:v>341.42</c:v>
                </c:pt>
                <c:pt idx="54">
                  <c:v>340.8</c:v>
                </c:pt>
                <c:pt idx="55">
                  <c:v>348.36</c:v>
                </c:pt>
                <c:pt idx="56">
                  <c:v>362.2</c:v>
                </c:pt>
                <c:pt idx="57">
                  <c:v>365.17</c:v>
                </c:pt>
                <c:pt idx="58">
                  <c:v>359.51</c:v>
                </c:pt>
                <c:pt idx="59">
                  <c:v>350.41</c:v>
                </c:pt>
                <c:pt idx="60">
                  <c:v>366.43</c:v>
                </c:pt>
                <c:pt idx="61">
                  <c:v>379.86</c:v>
                </c:pt>
                <c:pt idx="62">
                  <c:v>374.31</c:v>
                </c:pt>
                <c:pt idx="63">
                  <c:v>356.66</c:v>
                </c:pt>
                <c:pt idx="64">
                  <c:v>371.66</c:v>
                </c:pt>
                <c:pt idx="65">
                  <c:v>419.07</c:v>
                </c:pt>
                <c:pt idx="66">
                  <c:v>374.83</c:v>
                </c:pt>
                <c:pt idx="67">
                  <c:v>376.86</c:v>
                </c:pt>
                <c:pt idx="68">
                  <c:v>369.03</c:v>
                </c:pt>
                <c:pt idx="69">
                  <c:v>370.83</c:v>
                </c:pt>
                <c:pt idx="70">
                  <c:v>356</c:v>
                </c:pt>
                <c:pt idx="71">
                  <c:v>374.71</c:v>
                </c:pt>
                <c:pt idx="72">
                  <c:v>393.18</c:v>
                </c:pt>
                <c:pt idx="73">
                  <c:v>395.2</c:v>
                </c:pt>
                <c:pt idx="74">
                  <c:v>396.73</c:v>
                </c:pt>
                <c:pt idx="75">
                  <c:v>374.84</c:v>
                </c:pt>
                <c:pt idx="76">
                  <c:v>378.97</c:v>
                </c:pt>
                <c:pt idx="77">
                  <c:v>380.27</c:v>
                </c:pt>
                <c:pt idx="78">
                  <c:v>384.52</c:v>
                </c:pt>
                <c:pt idx="79">
                  <c:v>383.58</c:v>
                </c:pt>
                <c:pt idx="80">
                  <c:v>380.75</c:v>
                </c:pt>
                <c:pt idx="81">
                  <c:v>378.85</c:v>
                </c:pt>
                <c:pt idx="82">
                  <c:v>372.25</c:v>
                </c:pt>
                <c:pt idx="83">
                  <c:v>371.72</c:v>
                </c:pt>
                <c:pt idx="84">
                  <c:v>351.96</c:v>
                </c:pt>
                <c:pt idx="85">
                  <c:v>376.77</c:v>
                </c:pt>
                <c:pt idx="86">
                  <c:v>357.94</c:v>
                </c:pt>
                <c:pt idx="87">
                  <c:v>356.36</c:v>
                </c:pt>
                <c:pt idx="88">
                  <c:v>368.82</c:v>
                </c:pt>
                <c:pt idx="89">
                  <c:v>358.5</c:v>
                </c:pt>
                <c:pt idx="90">
                  <c:v>348.38</c:v>
                </c:pt>
                <c:pt idx="91">
                  <c:v>353.38</c:v>
                </c:pt>
                <c:pt idx="92">
                  <c:v>354.24</c:v>
                </c:pt>
                <c:pt idx="93">
                  <c:v>367.93</c:v>
                </c:pt>
                <c:pt idx="94">
                  <c:v>365.46</c:v>
                </c:pt>
                <c:pt idx="95">
                  <c:v>367.96</c:v>
                </c:pt>
                <c:pt idx="96">
                  <c:v>379.99</c:v>
                </c:pt>
                <c:pt idx="97">
                  <c:v>394.27</c:v>
                </c:pt>
                <c:pt idx="98">
                  <c:v>392.42</c:v>
                </c:pt>
                <c:pt idx="99">
                  <c:v>378.99</c:v>
                </c:pt>
                <c:pt idx="100">
                  <c:v>380.49</c:v>
                </c:pt>
                <c:pt idx="101">
                  <c:v>365.96</c:v>
                </c:pt>
                <c:pt idx="102">
                  <c:v>369.1</c:v>
                </c:pt>
                <c:pt idx="103">
                  <c:v>390.51</c:v>
                </c:pt>
                <c:pt idx="104">
                  <c:v>374.8</c:v>
                </c:pt>
                <c:pt idx="105">
                  <c:v>368.65</c:v>
                </c:pt>
                <c:pt idx="106">
                  <c:v>360.92</c:v>
                </c:pt>
                <c:pt idx="107">
                  <c:v>355.04</c:v>
                </c:pt>
                <c:pt idx="108">
                  <c:v>367.54</c:v>
                </c:pt>
                <c:pt idx="109">
                  <c:v>374.55</c:v>
                </c:pt>
                <c:pt idx="110">
                  <c:v>393.63</c:v>
                </c:pt>
                <c:pt idx="111">
                  <c:v>386.57</c:v>
                </c:pt>
                <c:pt idx="112">
                  <c:v>385.93</c:v>
                </c:pt>
                <c:pt idx="113">
                  <c:v>403.49</c:v>
                </c:pt>
                <c:pt idx="114">
                  <c:v>395.25</c:v>
                </c:pt>
                <c:pt idx="115">
                  <c:v>413.54</c:v>
                </c:pt>
                <c:pt idx="116">
                  <c:v>399.78</c:v>
                </c:pt>
                <c:pt idx="117">
                  <c:v>391.82</c:v>
                </c:pt>
                <c:pt idx="118">
                  <c:v>398.55</c:v>
                </c:pt>
                <c:pt idx="119">
                  <c:v>394</c:v>
                </c:pt>
                <c:pt idx="120">
                  <c:v>407.12</c:v>
                </c:pt>
                <c:pt idx="121">
                  <c:v>407.81</c:v>
                </c:pt>
                <c:pt idx="122">
                  <c:v>383.82</c:v>
                </c:pt>
                <c:pt idx="123">
                  <c:v>380.69</c:v>
                </c:pt>
                <c:pt idx="124">
                  <c:v>382.09</c:v>
                </c:pt>
                <c:pt idx="125">
                  <c:v>406.84</c:v>
                </c:pt>
                <c:pt idx="126">
                  <c:v>406.45</c:v>
                </c:pt>
                <c:pt idx="127">
                  <c:v>418.03</c:v>
                </c:pt>
                <c:pt idx="128">
                  <c:v>415.81</c:v>
                </c:pt>
                <c:pt idx="129">
                  <c:v>417.75</c:v>
                </c:pt>
                <c:pt idx="130">
                  <c:v>435.83</c:v>
                </c:pt>
                <c:pt idx="131">
                  <c:v>412.83</c:v>
                </c:pt>
                <c:pt idx="132">
                  <c:v>444.5</c:v>
                </c:pt>
                <c:pt idx="133">
                  <c:v>445.84</c:v>
                </c:pt>
                <c:pt idx="134">
                  <c:v>431.04</c:v>
                </c:pt>
                <c:pt idx="135">
                  <c:v>430.43</c:v>
                </c:pt>
                <c:pt idx="136">
                  <c:v>438.5</c:v>
                </c:pt>
                <c:pt idx="137">
                  <c:v>434.07</c:v>
                </c:pt>
                <c:pt idx="138">
                  <c:v>426.99</c:v>
                </c:pt>
                <c:pt idx="139">
                  <c:v>425.38</c:v>
                </c:pt>
                <c:pt idx="140">
                  <c:v>420.7</c:v>
                </c:pt>
                <c:pt idx="141">
                  <c:v>411.23</c:v>
                </c:pt>
                <c:pt idx="142">
                  <c:v>410.72</c:v>
                </c:pt>
                <c:pt idx="143">
                  <c:v>416.94</c:v>
                </c:pt>
                <c:pt idx="144">
                  <c:v>423.13</c:v>
                </c:pt>
                <c:pt idx="145">
                  <c:v>429.72</c:v>
                </c:pt>
                <c:pt idx="146">
                  <c:v>423.56</c:v>
                </c:pt>
                <c:pt idx="147">
                  <c:v>415.25</c:v>
                </c:pt>
                <c:pt idx="148">
                  <c:v>408.09</c:v>
                </c:pt>
                <c:pt idx="149">
                  <c:v>409.6</c:v>
                </c:pt>
                <c:pt idx="150">
                  <c:v>405.45</c:v>
                </c:pt>
                <c:pt idx="151">
                  <c:v>402.53</c:v>
                </c:pt>
                <c:pt idx="152">
                  <c:v>400.92</c:v>
                </c:pt>
                <c:pt idx="153">
                  <c:v>402.65</c:v>
                </c:pt>
                <c:pt idx="154">
                  <c:v>389.43</c:v>
                </c:pt>
                <c:pt idx="155">
                  <c:v>383.49</c:v>
                </c:pt>
                <c:pt idx="156">
                  <c:v>389.19</c:v>
                </c:pt>
                <c:pt idx="157">
                  <c:v>380.44</c:v>
                </c:pt>
                <c:pt idx="158">
                  <c:v>377.76</c:v>
                </c:pt>
                <c:pt idx="159">
                  <c:v>375.15</c:v>
                </c:pt>
                <c:pt idx="160">
                  <c:v>378.92</c:v>
                </c:pt>
                <c:pt idx="161">
                  <c:v>388.22</c:v>
                </c:pt>
                <c:pt idx="162">
                  <c:v>381.5</c:v>
                </c:pt>
                <c:pt idx="163">
                  <c:v>378.79</c:v>
                </c:pt>
                <c:pt idx="164">
                  <c:v>355.53</c:v>
                </c:pt>
                <c:pt idx="165">
                  <c:v>356.11</c:v>
                </c:pt>
                <c:pt idx="166">
                  <c:v>357.86</c:v>
                </c:pt>
                <c:pt idx="167">
                  <c:v>360.1</c:v>
                </c:pt>
                <c:pt idx="168">
                  <c:v>368.16</c:v>
                </c:pt>
                <c:pt idx="169">
                  <c:v>376.89</c:v>
                </c:pt>
                <c:pt idx="170">
                  <c:v>377.82</c:v>
                </c:pt>
                <c:pt idx="171">
                  <c:v>380.6</c:v>
                </c:pt>
                <c:pt idx="172">
                  <c:v>380.25</c:v>
                </c:pt>
                <c:pt idx="173">
                  <c:v>380.61</c:v>
                </c:pt>
                <c:pt idx="174">
                  <c:v>369.95</c:v>
                </c:pt>
                <c:pt idx="175">
                  <c:v>374.68</c:v>
                </c:pt>
                <c:pt idx="176">
                  <c:v>375.58</c:v>
                </c:pt>
                <c:pt idx="177">
                  <c:v>378.67</c:v>
                </c:pt>
                <c:pt idx="178">
                  <c:v>384.27</c:v>
                </c:pt>
                <c:pt idx="179">
                  <c:v>390.68</c:v>
                </c:pt>
                <c:pt idx="180">
                  <c:v>378.01</c:v>
                </c:pt>
                <c:pt idx="181">
                  <c:v>377.57</c:v>
                </c:pt>
                <c:pt idx="182">
                  <c:v>373.36</c:v>
                </c:pt>
                <c:pt idx="183">
                  <c:v>361.21</c:v>
                </c:pt>
                <c:pt idx="184">
                  <c:v>358.77</c:v>
                </c:pt>
                <c:pt idx="185">
                  <c:v>346.62</c:v>
                </c:pt>
                <c:pt idx="186">
                  <c:v>339.16</c:v>
                </c:pt>
                <c:pt idx="187">
                  <c:v>339.24</c:v>
                </c:pt>
                <c:pt idx="188">
                  <c:v>313.58</c:v>
                </c:pt>
                <c:pt idx="189">
                  <c:v>310.14</c:v>
                </c:pt>
                <c:pt idx="190">
                  <c:v>328.63</c:v>
                </c:pt>
                <c:pt idx="191">
                  <c:v>264</c:v>
                </c:pt>
                <c:pt idx="192">
                  <c:v>264.77999999999997</c:v>
                </c:pt>
                <c:pt idx="193">
                  <c:v>268.14999999999998</c:v>
                </c:pt>
                <c:pt idx="194">
                  <c:v>281.95999999999998</c:v>
                </c:pt>
                <c:pt idx="195">
                  <c:v>276.17</c:v>
                </c:pt>
                <c:pt idx="196">
                  <c:v>267.62</c:v>
                </c:pt>
                <c:pt idx="197">
                  <c:v>272.14999999999998</c:v>
                </c:pt>
                <c:pt idx="198">
                  <c:v>277.45999999999998</c:v>
                </c:pt>
                <c:pt idx="199">
                  <c:v>285.10000000000002</c:v>
                </c:pt>
                <c:pt idx="200">
                  <c:v>286.31</c:v>
                </c:pt>
                <c:pt idx="201">
                  <c:v>276.27</c:v>
                </c:pt>
                <c:pt idx="202">
                  <c:v>279.99</c:v>
                </c:pt>
                <c:pt idx="203">
                  <c:v>290.77</c:v>
                </c:pt>
                <c:pt idx="204">
                  <c:v>297.88</c:v>
                </c:pt>
                <c:pt idx="205">
                  <c:v>291.38</c:v>
                </c:pt>
                <c:pt idx="206">
                  <c:v>288</c:v>
                </c:pt>
                <c:pt idx="207">
                  <c:v>294.17</c:v>
                </c:pt>
                <c:pt idx="208">
                  <c:v>291.58999999999997</c:v>
                </c:pt>
                <c:pt idx="209">
                  <c:v>288.66000000000003</c:v>
                </c:pt>
                <c:pt idx="210">
                  <c:v>290.38</c:v>
                </c:pt>
                <c:pt idx="211">
                  <c:v>285.88</c:v>
                </c:pt>
                <c:pt idx="212">
                  <c:v>280.92</c:v>
                </c:pt>
                <c:pt idx="213">
                  <c:v>277.16000000000003</c:v>
                </c:pt>
                <c:pt idx="214">
                  <c:v>274.99</c:v>
                </c:pt>
                <c:pt idx="215">
                  <c:v>274.82</c:v>
                </c:pt>
                <c:pt idx="216">
                  <c:v>255.1</c:v>
                </c:pt>
                <c:pt idx="217">
                  <c:v>257.02</c:v>
                </c:pt>
                <c:pt idx="218">
                  <c:v>258.54000000000002</c:v>
                </c:pt>
                <c:pt idx="219">
                  <c:v>255.94</c:v>
                </c:pt>
                <c:pt idx="220">
                  <c:v>260</c:v>
                </c:pt>
                <c:pt idx="221">
                  <c:v>255.48</c:v>
                </c:pt>
                <c:pt idx="222">
                  <c:v>248.56</c:v>
                </c:pt>
                <c:pt idx="223">
                  <c:v>243.95</c:v>
                </c:pt>
                <c:pt idx="224">
                  <c:v>244.69</c:v>
                </c:pt>
                <c:pt idx="225">
                  <c:v>244.52</c:v>
                </c:pt>
                <c:pt idx="226">
                  <c:v>245.22</c:v>
                </c:pt>
                <c:pt idx="227">
                  <c:v>243.08</c:v>
                </c:pt>
                <c:pt idx="228">
                  <c:v>238.63</c:v>
                </c:pt>
                <c:pt idx="229">
                  <c:v>235.39</c:v>
                </c:pt>
                <c:pt idx="230">
                  <c:v>241.21</c:v>
                </c:pt>
                <c:pt idx="231">
                  <c:v>240.3</c:v>
                </c:pt>
                <c:pt idx="232">
                  <c:v>244.86</c:v>
                </c:pt>
                <c:pt idx="233">
                  <c:v>244.8</c:v>
                </c:pt>
                <c:pt idx="234">
                  <c:v>244.92</c:v>
                </c:pt>
                <c:pt idx="235">
                  <c:v>241.08</c:v>
                </c:pt>
                <c:pt idx="236">
                  <c:v>236.62</c:v>
                </c:pt>
                <c:pt idx="237">
                  <c:v>225.16</c:v>
                </c:pt>
                <c:pt idx="238">
                  <c:v>228.61</c:v>
                </c:pt>
                <c:pt idx="239">
                  <c:v>231.31</c:v>
                </c:pt>
                <c:pt idx="240">
                  <c:v>234.72</c:v>
                </c:pt>
                <c:pt idx="241">
                  <c:v>222.28</c:v>
                </c:pt>
                <c:pt idx="242">
                  <c:v>225.94</c:v>
                </c:pt>
                <c:pt idx="243">
                  <c:v>223.34</c:v>
                </c:pt>
                <c:pt idx="244">
                  <c:v>215.08</c:v>
                </c:pt>
                <c:pt idx="245">
                  <c:v>213.95</c:v>
                </c:pt>
                <c:pt idx="246">
                  <c:v>213.43</c:v>
                </c:pt>
                <c:pt idx="247">
                  <c:v>211.56</c:v>
                </c:pt>
                <c:pt idx="248">
                  <c:v>211.01</c:v>
                </c:pt>
                <c:pt idx="249">
                  <c:v>204.66</c:v>
                </c:pt>
                <c:pt idx="250">
                  <c:v>197.59</c:v>
                </c:pt>
                <c:pt idx="251">
                  <c:v>191.37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05-E04F-AD2E-12F3A7919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2073360"/>
        <c:axId val="622045648"/>
      </c:lineChart>
      <c:catAx>
        <c:axId val="62207336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622045648"/>
        <c:crosses val="autoZero"/>
        <c:auto val="1"/>
        <c:lblAlgn val="ctr"/>
        <c:lblOffset val="100"/>
        <c:noMultiLvlLbl val="0"/>
      </c:catAx>
      <c:valAx>
        <c:axId val="62204564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622073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Interest</a:t>
            </a:r>
            <a:r>
              <a:rPr lang="en-GB" baseline="0"/>
              <a:t> Coverage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'Graphs for the Deck'!$L$19:$L$24</c:f>
              <c:strCache>
                <c:ptCount val="6"/>
                <c:pt idx="0">
                  <c:v>Q3 2024</c:v>
                </c:pt>
                <c:pt idx="1">
                  <c:v>Q4 2024</c:v>
                </c:pt>
                <c:pt idx="2">
                  <c:v>Q1 2025</c:v>
                </c:pt>
                <c:pt idx="3">
                  <c:v>Q2 2025</c:v>
                </c:pt>
                <c:pt idx="4">
                  <c:v>Q3 2025</c:v>
                </c:pt>
                <c:pt idx="5">
                  <c:v>Q4 2025</c:v>
                </c:pt>
              </c:strCache>
            </c:strRef>
          </c:cat>
          <c:val>
            <c:numRef>
              <c:f>'Graphs for the Deck'!$M$19:$M$24</c:f>
              <c:numCache>
                <c:formatCode>General</c:formatCode>
                <c:ptCount val="6"/>
                <c:pt idx="0">
                  <c:v>2.39</c:v>
                </c:pt>
                <c:pt idx="1">
                  <c:v>0.95</c:v>
                </c:pt>
                <c:pt idx="2">
                  <c:v>-1.43</c:v>
                </c:pt>
                <c:pt idx="3">
                  <c:v>1.06</c:v>
                </c:pt>
                <c:pt idx="4">
                  <c:v>3.93</c:v>
                </c:pt>
                <c:pt idx="5">
                  <c:v>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7-6B4A-99A2-F4C8F76EC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4473072"/>
        <c:axId val="1534933088"/>
      </c:lineChart>
      <c:catAx>
        <c:axId val="153447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534933088"/>
        <c:crosses val="autoZero"/>
        <c:auto val="1"/>
        <c:lblAlgn val="ctr"/>
        <c:lblOffset val="100"/>
        <c:noMultiLvlLbl val="0"/>
      </c:catAx>
      <c:valAx>
        <c:axId val="153493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534473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Debt to Equity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'Graphs for the Deck'!$L$9:$L$14</c:f>
              <c:strCache>
                <c:ptCount val="6"/>
                <c:pt idx="0">
                  <c:v>Q3 2024</c:v>
                </c:pt>
                <c:pt idx="1">
                  <c:v>Q4 2024</c:v>
                </c:pt>
                <c:pt idx="2">
                  <c:v>Q1 2025</c:v>
                </c:pt>
                <c:pt idx="3">
                  <c:v>Q2 2025</c:v>
                </c:pt>
                <c:pt idx="4">
                  <c:v>Q3 2025</c:v>
                </c:pt>
                <c:pt idx="5">
                  <c:v>Q4 2025</c:v>
                </c:pt>
              </c:strCache>
            </c:strRef>
          </c:cat>
          <c:val>
            <c:numRef>
              <c:f>'Graphs for the Deck'!$M$9:$M$14</c:f>
              <c:numCache>
                <c:formatCode>General</c:formatCode>
                <c:ptCount val="6"/>
                <c:pt idx="0">
                  <c:v>1.18</c:v>
                </c:pt>
                <c:pt idx="1">
                  <c:v>2.15</c:v>
                </c:pt>
                <c:pt idx="2">
                  <c:v>2.54</c:v>
                </c:pt>
                <c:pt idx="3">
                  <c:v>2.5499999999999998</c:v>
                </c:pt>
                <c:pt idx="4">
                  <c:v>2.06</c:v>
                </c:pt>
                <c:pt idx="5">
                  <c:v>5.53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12-7F4C-8234-0EB9EB8E2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0596000"/>
        <c:axId val="1803842800"/>
      </c:lineChart>
      <c:catAx>
        <c:axId val="103059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803842800"/>
        <c:crosses val="autoZero"/>
        <c:auto val="1"/>
        <c:lblAlgn val="ctr"/>
        <c:lblOffset val="100"/>
        <c:noMultiLvlLbl val="0"/>
      </c:catAx>
      <c:valAx>
        <c:axId val="180384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030596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Net Debt/EBITDA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'Graphs for the Deck'!$L$38:$L$41</c:f>
              <c:strCache>
                <c:ptCount val="4"/>
                <c:pt idx="0">
                  <c:v>Q4 2024</c:v>
                </c:pt>
                <c:pt idx="1">
                  <c:v>Q1 2025</c:v>
                </c:pt>
                <c:pt idx="2">
                  <c:v>Q2 2025</c:v>
                </c:pt>
                <c:pt idx="3">
                  <c:v>Q4 2025</c:v>
                </c:pt>
              </c:strCache>
            </c:strRef>
          </c:cat>
          <c:val>
            <c:numRef>
              <c:f>'Graphs for the Deck'!$M$38:$M$41</c:f>
              <c:numCache>
                <c:formatCode>General</c:formatCode>
                <c:ptCount val="4"/>
                <c:pt idx="0">
                  <c:v>2.6</c:v>
                </c:pt>
                <c:pt idx="1">
                  <c:v>2.6</c:v>
                </c:pt>
                <c:pt idx="2">
                  <c:v>2.7</c:v>
                </c:pt>
                <c:pt idx="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DD-754E-B2BC-E242D95E9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4067856"/>
        <c:axId val="1804570032"/>
      </c:lineChart>
      <c:catAx>
        <c:axId val="180406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804570032"/>
        <c:crosses val="autoZero"/>
        <c:auto val="1"/>
        <c:lblAlgn val="ctr"/>
        <c:lblOffset val="100"/>
        <c:noMultiLvlLbl val="0"/>
      </c:catAx>
      <c:valAx>
        <c:axId val="1804570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80406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'Graphs for the Deck'!$F$25</c:f>
              <c:strCache>
                <c:ptCount val="1"/>
                <c:pt idx="0">
                  <c:v>Historical (TWh)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'Graphs for the Deck'!$E$26:$E$36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'Graphs for the Deck'!$F$26:$F$36</c:f>
              <c:numCache>
                <c:formatCode>#,##0</c:formatCode>
                <c:ptCount val="11"/>
                <c:pt idx="0">
                  <c:v>3802</c:v>
                </c:pt>
                <c:pt idx="1">
                  <c:v>3930</c:v>
                </c:pt>
                <c:pt idx="2">
                  <c:v>4023</c:v>
                </c:pt>
                <c:pt idx="3">
                  <c:v>4178</c:v>
                </c:pt>
                <c:pt idx="4">
                  <c:v>4300</c:v>
                </c:pt>
                <c:pt idx="5">
                  <c:v>4430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55-9B4E-93AC-6E866523B8AB}"/>
            </c:ext>
          </c:extLst>
        </c:ser>
        <c:ser>
          <c:idx val="2"/>
          <c:order val="1"/>
          <c:tx>
            <c:strRef>
              <c:f>'Graphs for the Deck'!$G$25</c:f>
              <c:strCache>
                <c:ptCount val="1"/>
                <c:pt idx="0">
                  <c:v>Projected (TWh)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'Graphs for the Deck'!$E$26:$E$36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'Graphs for the Deck'!$G$26:$G$36</c:f>
              <c:numCache>
                <c:formatCode>General</c:formatCode>
                <c:ptCount val="11"/>
                <c:pt idx="6" formatCode="#,##0">
                  <c:v>4650</c:v>
                </c:pt>
                <c:pt idx="7" formatCode="#,##0">
                  <c:v>4880</c:v>
                </c:pt>
                <c:pt idx="8" formatCode="#,##0">
                  <c:v>5100</c:v>
                </c:pt>
                <c:pt idx="9" formatCode="#,##0">
                  <c:v>5300</c:v>
                </c:pt>
                <c:pt idx="10" formatCode="#,##0">
                  <c:v>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55-9B4E-93AC-6E866523B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5874687"/>
        <c:axId val="1522622384"/>
      </c:barChart>
      <c:catAx>
        <c:axId val="96587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522622384"/>
        <c:crosses val="autoZero"/>
        <c:auto val="1"/>
        <c:lblAlgn val="ctr"/>
        <c:lblOffset val="100"/>
        <c:noMultiLvlLbl val="0"/>
      </c:catAx>
      <c:valAx>
        <c:axId val="152262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965874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8C-A64E-A8D9-FEA0A0AF54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8C-A64E-A8D9-FEA0A0AF54F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8C-A64E-A8D9-FEA0A0AF54F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8C-A64E-A8D9-FEA0A0AF54F6}"/>
              </c:ext>
            </c:extLst>
          </c:dPt>
          <c:cat>
            <c:strRef>
              <c:f>'Graphs for the Deck'!$K$54:$K$57</c:f>
              <c:strCache>
                <c:ptCount val="4"/>
                <c:pt idx="0">
                  <c:v>Buy</c:v>
                </c:pt>
                <c:pt idx="1">
                  <c:v>Contract</c:v>
                </c:pt>
                <c:pt idx="2">
                  <c:v>Re-Rate</c:v>
                </c:pt>
                <c:pt idx="3">
                  <c:v>Repeat</c:v>
                </c:pt>
              </c:strCache>
            </c:strRef>
          </c:cat>
          <c:val>
            <c:numRef>
              <c:f>'Graphs for the Deck'!$L$54:$L$57</c:f>
              <c:numCache>
                <c:formatCode>0%</c:formatCode>
                <c:ptCount val="4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BB-7C42-963F-D5D641F21F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'Graphs for the Deck'!$Y$21</c:f>
              <c:strCache>
                <c:ptCount val="1"/>
                <c:pt idx="0">
                  <c:v>PJM Clearing Price ($/MW-day)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'Graphs for the Deck'!$X$22:$X$26</c:f>
              <c:strCache>
                <c:ptCount val="5"/>
                <c:pt idx="0">
                  <c:v>FY2023A</c:v>
                </c:pt>
                <c:pt idx="1">
                  <c:v>FY2024A</c:v>
                </c:pt>
                <c:pt idx="2">
                  <c:v>FY2025A</c:v>
                </c:pt>
                <c:pt idx="3">
                  <c:v>FY2026E</c:v>
                </c:pt>
                <c:pt idx="4">
                  <c:v>FY2027E</c:v>
                </c:pt>
              </c:strCache>
            </c:strRef>
          </c:cat>
          <c:val>
            <c:numRef>
              <c:f>'Graphs for the Deck'!$Y$22:$Y$26</c:f>
              <c:numCache>
                <c:formatCode>General</c:formatCode>
                <c:ptCount val="5"/>
                <c:pt idx="0">
                  <c:v>34</c:v>
                </c:pt>
                <c:pt idx="1">
                  <c:v>29</c:v>
                </c:pt>
                <c:pt idx="2">
                  <c:v>270</c:v>
                </c:pt>
                <c:pt idx="3">
                  <c:v>329</c:v>
                </c:pt>
                <c:pt idx="4">
                  <c:v>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F3-6D4F-8DFC-D127E23E6C6C}"/>
            </c:ext>
          </c:extLst>
        </c:ser>
        <c:ser>
          <c:idx val="1"/>
          <c:order val="1"/>
          <c:tx>
            <c:strRef>
              <c:f>'Graphs for the Deck'!$Z$21</c:f>
              <c:strCache>
                <c:ptCount val="1"/>
                <c:pt idx="0">
                  <c:v>Talen Capacity Revenue ($M)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'Graphs for the Deck'!$X$22:$X$26</c:f>
              <c:strCache>
                <c:ptCount val="5"/>
                <c:pt idx="0">
                  <c:v>FY2023A</c:v>
                </c:pt>
                <c:pt idx="1">
                  <c:v>FY2024A</c:v>
                </c:pt>
                <c:pt idx="2">
                  <c:v>FY2025A</c:v>
                </c:pt>
                <c:pt idx="3">
                  <c:v>FY2026E</c:v>
                </c:pt>
                <c:pt idx="4">
                  <c:v>FY2027E</c:v>
                </c:pt>
              </c:strCache>
            </c:strRef>
          </c:cat>
          <c:val>
            <c:numRef>
              <c:f>'Graphs for the Deck'!$Z$22:$Z$26</c:f>
              <c:numCache>
                <c:formatCode>General</c:formatCode>
                <c:ptCount val="5"/>
                <c:pt idx="0">
                  <c:v>241</c:v>
                </c:pt>
                <c:pt idx="1">
                  <c:v>192</c:v>
                </c:pt>
                <c:pt idx="2">
                  <c:v>485</c:v>
                </c:pt>
                <c:pt idx="3">
                  <c:v>534</c:v>
                </c:pt>
                <c:pt idx="4">
                  <c:v>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F3-6D4F-8DFC-D127E23E6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793919"/>
        <c:axId val="269714479"/>
      </c:lineChart>
      <c:catAx>
        <c:axId val="269793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269714479"/>
        <c:crosses val="autoZero"/>
        <c:auto val="1"/>
        <c:lblAlgn val="ctr"/>
        <c:lblOffset val="100"/>
        <c:noMultiLvlLbl val="0"/>
      </c:catAx>
      <c:valAx>
        <c:axId val="26971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269793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'Graphs for the Deck'!$E$58:$E$59</c:f>
              <c:numCache>
                <c:formatCode>General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'Graphs for the Deck'!$F$58:$G$58</c:f>
              <c:numCache>
                <c:formatCode>0%</c:formatCode>
                <c:ptCount val="2"/>
                <c:pt idx="0">
                  <c:v>0.9</c:v>
                </c:pt>
                <c:pt idx="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EF-344A-90A7-4BEEA6F0110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'Graphs for the Deck'!$E$58:$E$59</c:f>
              <c:numCache>
                <c:formatCode>General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'Graphs for the Deck'!$E$59:$G$59</c:f>
              <c:numCache>
                <c:formatCode>0%</c:formatCode>
                <c:ptCount val="3"/>
                <c:pt idx="0" formatCode="General">
                  <c:v>2027</c:v>
                </c:pt>
                <c:pt idx="1">
                  <c:v>0.4</c:v>
                </c:pt>
                <c:pt idx="2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EF-344A-90A7-4BEEA6F01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2722944"/>
        <c:axId val="517208847"/>
      </c:barChart>
      <c:catAx>
        <c:axId val="1222722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517208847"/>
        <c:crosses val="autoZero"/>
        <c:auto val="1"/>
        <c:lblAlgn val="ctr"/>
        <c:lblOffset val="100"/>
        <c:noMultiLvlLbl val="0"/>
      </c:catAx>
      <c:valAx>
        <c:axId val="51720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22272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'Graphs for the Deck'!$E$63</c:f>
              <c:strCache>
                <c:ptCount val="1"/>
                <c:pt idx="0">
                  <c:v>Hedged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'Graphs for the Deck'!$F$62:$G$62</c:f>
              <c:numCache>
                <c:formatCode>General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'Graphs for the Deck'!$F$63:$G$63</c:f>
              <c:numCache>
                <c:formatCode>0%</c:formatCode>
                <c:ptCount val="2"/>
                <c:pt idx="0">
                  <c:v>0.9</c:v>
                </c:pt>
                <c:pt idx="1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3-A04A-8B1B-45B6A6667FA7}"/>
            </c:ext>
          </c:extLst>
        </c:ser>
        <c:ser>
          <c:idx val="1"/>
          <c:order val="1"/>
          <c:tx>
            <c:strRef>
              <c:f>'Graphs for the Deck'!$E$64</c:f>
              <c:strCache>
                <c:ptCount val="1"/>
                <c:pt idx="0">
                  <c:v>Unhedged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'Graphs for the Deck'!$F$62:$G$62</c:f>
              <c:numCache>
                <c:formatCode>General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'Graphs for the Deck'!$F$64:$G$64</c:f>
              <c:numCache>
                <c:formatCode>0%</c:formatCode>
                <c:ptCount val="2"/>
                <c:pt idx="0">
                  <c:v>0.1</c:v>
                </c:pt>
                <c:pt idx="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3-A04A-8B1B-45B6A6667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6822112"/>
        <c:axId val="1076313424"/>
      </c:barChart>
      <c:catAx>
        <c:axId val="107682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076313424"/>
        <c:crosses val="autoZero"/>
        <c:auto val="1"/>
        <c:lblAlgn val="ctr"/>
        <c:lblOffset val="100"/>
        <c:noMultiLvlLbl val="0"/>
      </c:catAx>
      <c:valAx>
        <c:axId val="1076313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Z"/>
          </a:p>
        </c:txPr>
        <c:crossAx val="107682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673101</xdr:colOff>
      <xdr:row>1</xdr:row>
      <xdr:rowOff>0</xdr:rowOff>
    </xdr:from>
    <xdr:to>
      <xdr:col>3</xdr:col>
      <xdr:colOff>990601</xdr:colOff>
      <xdr:row>6</xdr:row>
      <xdr:rowOff>177138</xdr:rowOff>
    </xdr:to>
    <xdr:pic>
      <xdr:nvPicPr>
        <xdr:cNvPr id="2" name="Picture 1" descr="Talen Energy logo in transparent PNG and vectorized SVG formats">
          <a:extLst>
            <a:ext uri="{FF2B5EF4-FFF2-40B4-BE49-F238E27FC236}">
              <a16:creationId xmlns:a16="http://schemas.microsoft.com/office/drawing/2014/main" id="{DB3A3AEB-09E0-A320-5DDF-685CFE45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1" y="203200"/>
          <a:ext cx="3949700" cy="1193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369140</xdr:colOff>
      <xdr:row>52</xdr:row>
      <xdr:rowOff>98469</xdr:rowOff>
    </xdr:from>
    <xdr:to>
      <xdr:col>17</xdr:col>
      <xdr:colOff>128177</xdr:colOff>
      <xdr:row>57</xdr:row>
      <xdr:rowOff>110433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21BE47-B1A9-DFF0-17D6-FCEDE3AD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3896" y="10692128"/>
          <a:ext cx="5337001" cy="10186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904240</xdr:colOff>
      <xdr:row>19</xdr:row>
      <xdr:rowOff>71119</xdr:rowOff>
    </xdr:from>
    <xdr:to>
      <xdr:col>3</xdr:col>
      <xdr:colOff>508000</xdr:colOff>
      <xdr:row>26</xdr:row>
      <xdr:rowOff>50646</xdr:rowOff>
    </xdr:to>
    <xdr:pic>
      <xdr:nvPicPr>
        <xdr:cNvPr id="2" name="Picture 1" descr="Levered and Unlevered Beta (β) | Formula + Calculator">
          <a:extLst>
            <a:ext uri="{FF2B5EF4-FFF2-40B4-BE49-F238E27FC236}">
              <a16:creationId xmlns:a16="http://schemas.microsoft.com/office/drawing/2014/main" id="{72C20464-20D7-583D-56BB-8F4703AD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480" y="3860799"/>
          <a:ext cx="4480560" cy="1401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4</xdr:row>
      <xdr:rowOff>44450</xdr:rowOff>
    </xdr:from>
    <xdr:to>
      <xdr:col>8</xdr:col>
      <xdr:colOff>19050</xdr:colOff>
      <xdr:row>17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4EE88D-6073-6247-8815-FC08FABD61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711200</xdr:colOff>
      <xdr:row>260</xdr:row>
      <xdr:rowOff>127000</xdr:rowOff>
    </xdr:from>
    <xdr:to>
      <xdr:col>13</xdr:col>
      <xdr:colOff>742950</xdr:colOff>
      <xdr:row>278</xdr:row>
      <xdr:rowOff>196850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AC15539-C819-2BC4-669C-1C6BAC12A7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584200</xdr:colOff>
      <xdr:row>14</xdr:row>
      <xdr:rowOff>165100</xdr:rowOff>
    </xdr:from>
    <xdr:to>
      <xdr:col>19</xdr:col>
      <xdr:colOff>628650</xdr:colOff>
      <xdr:row>25</xdr:row>
      <xdr:rowOff>196850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70907FD-1541-F206-3CF2-0ACE54BF96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774700</xdr:colOff>
      <xdr:row>0</xdr:row>
      <xdr:rowOff>190500</xdr:rowOff>
    </xdr:from>
    <xdr:to>
      <xdr:col>18</xdr:col>
      <xdr:colOff>800100</xdr:colOff>
      <xdr:row>13</xdr:row>
      <xdr:rowOff>63500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C53CBAE-B2A6-1012-F102-C532E905C8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50800</xdr:colOff>
      <xdr:row>34</xdr:row>
      <xdr:rowOff>158750</xdr:rowOff>
    </xdr:from>
    <xdr:to>
      <xdr:col>19</xdr:col>
      <xdr:colOff>495300</xdr:colOff>
      <xdr:row>46</xdr:row>
      <xdr:rowOff>158750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87E5B89-CFD4-78E5-04A7-568AACCE80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281609</xdr:colOff>
      <xdr:row>37</xdr:row>
      <xdr:rowOff>174487</xdr:rowOff>
    </xdr:from>
    <xdr:to>
      <xdr:col>9</xdr:col>
      <xdr:colOff>712304</xdr:colOff>
      <xdr:row>50</xdr:row>
      <xdr:rowOff>46382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7E7A7DE-789D-D40F-8E01-F75FA87FE4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247098</xdr:colOff>
      <xdr:row>50</xdr:row>
      <xdr:rowOff>174487</xdr:rowOff>
    </xdr:from>
    <xdr:to>
      <xdr:col>17</xdr:col>
      <xdr:colOff>677793</xdr:colOff>
      <xdr:row>64</xdr:row>
      <xdr:rowOff>18774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81C6679E-EB69-CC0B-633C-9D9FF10F95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23</xdr:col>
      <xdr:colOff>192049</xdr:colOff>
      <xdr:row>27</xdr:row>
      <xdr:rowOff>76509</xdr:rowOff>
    </xdr:from>
    <xdr:to>
      <xdr:col>28</xdr:col>
      <xdr:colOff>659781</xdr:colOff>
      <xdr:row>41</xdr:row>
      <xdr:rowOff>929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9524392-11C8-C94E-E387-982A13A08B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335559</xdr:colOff>
      <xdr:row>61</xdr:row>
      <xdr:rowOff>172207</xdr:rowOff>
    </xdr:from>
    <xdr:to>
      <xdr:col>13</xdr:col>
      <xdr:colOff>771321</xdr:colOff>
      <xdr:row>75</xdr:row>
      <xdr:rowOff>142379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E91DBA43-FFCA-DA72-C71E-57692BF734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335559</xdr:colOff>
      <xdr:row>61</xdr:row>
      <xdr:rowOff>172207</xdr:rowOff>
    </xdr:from>
    <xdr:to>
      <xdr:col>13</xdr:col>
      <xdr:colOff>771321</xdr:colOff>
      <xdr:row>75</xdr:row>
      <xdr:rowOff>142379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1292E0C4-B8CC-79C4-0C6F-078DD3682A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83A9BC3-601A-8A4D-AA6B-3F31045B7B7C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c8bebdaa-112d-4da0-9d32-57aceec8003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4D2F-896B-254A-9139-D3CE604518D6}">
  <dimension ref="B9:G17"/>
  <sheetViews>
    <sheetView showGridLines="0" workbookViewId="0">
      <selection activeCell="D21" sqref="D21"/>
    </sheetView>
  </sheetViews>
  <sheetFormatPr baseColWidth="10" defaultColWidth="10.83203125" defaultRowHeight="16" x14ac:dyDescent="0.2"/>
  <cols>
    <col min="1" max="1" width="10.83203125" style="8"/>
    <col min="2" max="2" width="14.1640625" style="8" bestFit="1" customWidth="1"/>
    <col min="3" max="3" width="22.6640625" style="8" customWidth="1"/>
    <col min="4" max="4" width="16" style="8" bestFit="1" customWidth="1"/>
    <col min="5" max="5" width="10.83203125" style="8"/>
    <col min="6" max="6" width="13.6640625" style="8" bestFit="1" customWidth="1"/>
    <col min="7" max="7" width="20.1640625" style="8" customWidth="1"/>
    <col min="8" max="16384" width="10.83203125" style="8"/>
  </cols>
  <sheetData>
    <row r="9" spans="2:7" x14ac:dyDescent="0.2">
      <c r="B9" s="8" t="s">
        <v>0</v>
      </c>
      <c r="D9" s="91" t="s">
        <v>1</v>
      </c>
      <c r="F9" s="393" t="s">
        <v>2</v>
      </c>
      <c r="G9" s="394"/>
    </row>
    <row r="10" spans="2:7" x14ac:dyDescent="0.2">
      <c r="B10" s="8" t="s">
        <v>3</v>
      </c>
      <c r="D10" s="91" t="s">
        <v>4</v>
      </c>
      <c r="F10" s="8" t="s">
        <v>5</v>
      </c>
      <c r="G10" s="351">
        <f>DCF!M26</f>
        <v>427.31471780725735</v>
      </c>
    </row>
    <row r="11" spans="2:7" x14ac:dyDescent="0.2">
      <c r="B11" s="8" t="s">
        <v>6</v>
      </c>
      <c r="D11" s="91" t="s">
        <v>7</v>
      </c>
      <c r="F11" s="8" t="s">
        <v>8</v>
      </c>
      <c r="G11" s="386">
        <f>DCF!M28</f>
        <v>0.22883395009851415</v>
      </c>
    </row>
    <row r="12" spans="2:7" x14ac:dyDescent="0.2">
      <c r="B12" s="8" t="s">
        <v>9</v>
      </c>
      <c r="D12" s="92">
        <v>46136</v>
      </c>
      <c r="F12" s="93" t="s">
        <v>10</v>
      </c>
      <c r="G12" s="351">
        <f>'Public Comps'!D34</f>
        <v>413.62495177510135</v>
      </c>
    </row>
    <row r="13" spans="2:7" x14ac:dyDescent="0.2">
      <c r="B13" s="393" t="s">
        <v>11</v>
      </c>
      <c r="C13" s="394"/>
      <c r="D13" s="394"/>
      <c r="F13" s="67" t="s">
        <v>12</v>
      </c>
      <c r="G13" s="387">
        <f ca="1">'Public Comps'!D36</f>
        <v>0.13449219536762524</v>
      </c>
    </row>
    <row r="14" spans="2:7" x14ac:dyDescent="0.2">
      <c r="B14" s="8" t="s">
        <v>13</v>
      </c>
      <c r="D14" s="351">
        <f>DCF!Q9</f>
        <v>16736.034699285421</v>
      </c>
      <c r="F14" s="9" t="s">
        <v>14</v>
      </c>
      <c r="G14" s="388">
        <f>(G10+G12)/2</f>
        <v>420.46983479117932</v>
      </c>
    </row>
    <row r="15" spans="2:7" x14ac:dyDescent="0.2">
      <c r="B15" s="8" t="s">
        <v>15</v>
      </c>
      <c r="D15" s="351">
        <f>DCF!M22-DCF!M21</f>
        <v>2165.1477539324646</v>
      </c>
      <c r="F15" s="8" t="s">
        <v>8</v>
      </c>
      <c r="G15" s="389">
        <f>G14/D11-1</f>
        <v>0.20915003965945633</v>
      </c>
    </row>
    <row r="16" spans="2:7" x14ac:dyDescent="0.2">
      <c r="B16" s="10" t="s">
        <v>16</v>
      </c>
      <c r="C16" s="10"/>
      <c r="D16" s="385">
        <f>SUM(D14:D15)</f>
        <v>18901.182453217887</v>
      </c>
    </row>
    <row r="17" spans="2:4" x14ac:dyDescent="0.2">
      <c r="B17" s="8" t="s">
        <v>17</v>
      </c>
      <c r="D17" s="50">
        <f>'Public Comps'!C32</f>
        <v>48.184454580407902</v>
      </c>
    </row>
  </sheetData>
  <mergeCells count="2">
    <mergeCell ref="B13:D13"/>
    <mergeCell ref="F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1C863-5FE4-E342-8554-287EDA36B2DE}">
  <dimension ref="B1:AI84"/>
  <sheetViews>
    <sheetView showGridLines="0" tabSelected="1" zoomScale="94" workbookViewId="0">
      <pane xSplit="2" ySplit="5" topLeftCell="C20" activePane="bottomRight" state="frozen"/>
      <selection pane="topRight" activeCell="C1" sqref="C1"/>
      <selection pane="bottomLeft" activeCell="A6" sqref="A6"/>
      <selection pane="bottomRight" activeCell="U36" sqref="U36"/>
    </sheetView>
  </sheetViews>
  <sheetFormatPr baseColWidth="10" defaultColWidth="10.83203125" defaultRowHeight="16" outlineLevelCol="1" x14ac:dyDescent="0.2"/>
  <cols>
    <col min="1" max="1" width="1.83203125" style="8" customWidth="1"/>
    <col min="2" max="2" width="60.5" style="8" bestFit="1" customWidth="1"/>
    <col min="3" max="4" width="10.33203125" style="8" customWidth="1" outlineLevel="1"/>
    <col min="5" max="5" width="10.33203125" style="8" customWidth="1"/>
    <col min="6" max="9" width="10.33203125" style="8" hidden="1" customWidth="1" outlineLevel="1"/>
    <col min="10" max="10" width="10.33203125" style="8" customWidth="1" collapsed="1"/>
    <col min="11" max="14" width="10.33203125" style="8" hidden="1" customWidth="1" outlineLevel="1"/>
    <col min="15" max="15" width="10.33203125" style="8" customWidth="1" collapsed="1"/>
    <col min="16" max="19" width="10.83203125" style="8" customWidth="1" outlineLevel="1"/>
    <col min="20" max="20" width="10.83203125" style="8"/>
    <col min="21" max="24" width="10.83203125" style="8" customWidth="1" outlineLevel="1"/>
    <col min="25" max="25" width="10.83203125" style="8"/>
    <col min="26" max="29" width="10.83203125" style="8" customWidth="1"/>
    <col min="30" max="16384" width="10.83203125" style="8"/>
  </cols>
  <sheetData>
    <row r="1" spans="2:35" ht="10" customHeight="1" x14ac:dyDescent="0.2"/>
    <row r="2" spans="2:35" x14ac:dyDescent="0.2">
      <c r="B2" s="1" t="s">
        <v>18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25"/>
      <c r="Q2" s="25"/>
      <c r="R2" s="25"/>
      <c r="S2" s="25"/>
      <c r="T2" s="25"/>
      <c r="U2" s="25"/>
      <c r="V2" s="25"/>
      <c r="W2" s="25"/>
      <c r="X2" s="25"/>
      <c r="Y2" s="25"/>
      <c r="Z2" s="84"/>
      <c r="AA2" s="84"/>
      <c r="AB2" s="84"/>
      <c r="AC2" s="84"/>
      <c r="AD2" s="84"/>
      <c r="AE2" s="84"/>
      <c r="AF2" s="84"/>
      <c r="AG2" s="84"/>
      <c r="AH2" s="84"/>
      <c r="AI2" s="84"/>
    </row>
    <row r="3" spans="2:35" x14ac:dyDescent="0.2">
      <c r="B3" s="15" t="s">
        <v>19</v>
      </c>
      <c r="C3" s="16">
        <v>45170</v>
      </c>
      <c r="D3" s="16">
        <v>45261</v>
      </c>
      <c r="E3" s="17">
        <v>45261</v>
      </c>
      <c r="F3" s="16">
        <v>45352</v>
      </c>
      <c r="G3" s="16">
        <v>45444</v>
      </c>
      <c r="H3" s="16">
        <v>45536</v>
      </c>
      <c r="I3" s="16">
        <v>45627</v>
      </c>
      <c r="J3" s="17">
        <v>45627</v>
      </c>
      <c r="K3" s="16">
        <v>45717</v>
      </c>
      <c r="L3" s="16">
        <v>45809</v>
      </c>
      <c r="M3" s="16">
        <v>45901</v>
      </c>
      <c r="N3" s="16">
        <v>45992</v>
      </c>
      <c r="O3" s="17">
        <v>45992</v>
      </c>
      <c r="P3" s="18">
        <v>46082</v>
      </c>
      <c r="Q3" s="18">
        <v>46174</v>
      </c>
      <c r="R3" s="18">
        <v>46266</v>
      </c>
      <c r="S3" s="18">
        <v>46357</v>
      </c>
      <c r="T3" s="19">
        <v>46357</v>
      </c>
      <c r="U3" s="18">
        <v>46447</v>
      </c>
      <c r="V3" s="18">
        <v>46539</v>
      </c>
      <c r="W3" s="18">
        <v>46631</v>
      </c>
      <c r="X3" s="18">
        <v>46722</v>
      </c>
      <c r="Y3" s="19">
        <v>46722</v>
      </c>
      <c r="Z3" s="85"/>
      <c r="AA3" s="85"/>
      <c r="AB3" s="85"/>
      <c r="AC3" s="85"/>
      <c r="AD3" s="86"/>
      <c r="AE3" s="85"/>
      <c r="AF3" s="85"/>
      <c r="AG3" s="85"/>
      <c r="AH3" s="85"/>
      <c r="AI3" s="86"/>
    </row>
    <row r="4" spans="2:35" x14ac:dyDescent="0.2">
      <c r="B4" s="15"/>
      <c r="C4" s="12" t="s">
        <v>20</v>
      </c>
      <c r="D4" s="12" t="s">
        <v>21</v>
      </c>
      <c r="E4" s="13" t="s">
        <v>22</v>
      </c>
      <c r="F4" s="12" t="s">
        <v>23</v>
      </c>
      <c r="G4" s="12" t="s">
        <v>24</v>
      </c>
      <c r="H4" s="12" t="s">
        <v>25</v>
      </c>
      <c r="I4" s="12" t="s">
        <v>26</v>
      </c>
      <c r="J4" s="13" t="s">
        <v>27</v>
      </c>
      <c r="K4" s="12" t="s">
        <v>28</v>
      </c>
      <c r="L4" s="12" t="s">
        <v>29</v>
      </c>
      <c r="M4" s="12" t="s">
        <v>30</v>
      </c>
      <c r="N4" s="12" t="s">
        <v>31</v>
      </c>
      <c r="O4" s="13" t="s">
        <v>32</v>
      </c>
      <c r="P4" s="20" t="s">
        <v>33</v>
      </c>
      <c r="Q4" s="20" t="s">
        <v>34</v>
      </c>
      <c r="R4" s="20" t="s">
        <v>35</v>
      </c>
      <c r="S4" s="20" t="s">
        <v>36</v>
      </c>
      <c r="T4" s="14" t="s">
        <v>37</v>
      </c>
      <c r="U4" s="20" t="s">
        <v>38</v>
      </c>
      <c r="V4" s="20" t="s">
        <v>39</v>
      </c>
      <c r="W4" s="20" t="s">
        <v>40</v>
      </c>
      <c r="X4" s="20" t="s">
        <v>41</v>
      </c>
      <c r="Y4" s="14" t="s">
        <v>42</v>
      </c>
      <c r="Z4" s="81"/>
      <c r="AA4" s="81"/>
      <c r="AB4" s="81"/>
      <c r="AC4" s="81"/>
      <c r="AD4" s="83"/>
      <c r="AE4" s="81"/>
      <c r="AF4" s="81"/>
      <c r="AG4" s="81"/>
      <c r="AH4" s="81"/>
      <c r="AI4" s="83"/>
    </row>
    <row r="5" spans="2:35" x14ac:dyDescent="0.2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84"/>
      <c r="AA5" s="84"/>
      <c r="AB5" s="84"/>
      <c r="AC5" s="84"/>
      <c r="AD5" s="84"/>
      <c r="AE5" s="84"/>
      <c r="AF5" s="84"/>
      <c r="AG5" s="84"/>
      <c r="AH5" s="84"/>
      <c r="AI5" s="84"/>
    </row>
    <row r="7" spans="2:35" x14ac:dyDescent="0.2">
      <c r="B7" s="128" t="s">
        <v>43</v>
      </c>
      <c r="C7" s="176" t="s">
        <v>44</v>
      </c>
    </row>
    <row r="9" spans="2:35" x14ac:dyDescent="0.2">
      <c r="B9" s="124" t="s">
        <v>45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</row>
    <row r="10" spans="2:35" x14ac:dyDescent="0.2">
      <c r="B10" s="125"/>
      <c r="E10" s="22"/>
      <c r="J10" s="22"/>
      <c r="O10" s="30"/>
      <c r="T10" s="22"/>
      <c r="Y10" s="22"/>
    </row>
    <row r="11" spans="2:35" x14ac:dyDescent="0.2">
      <c r="B11" s="9" t="s">
        <v>46</v>
      </c>
      <c r="C11" s="137">
        <v>600</v>
      </c>
      <c r="D11" s="137">
        <v>368</v>
      </c>
      <c r="E11" s="138">
        <v>2198</v>
      </c>
      <c r="F11" s="137">
        <v>572</v>
      </c>
      <c r="G11" s="137">
        <v>367</v>
      </c>
      <c r="H11" s="137">
        <v>505</v>
      </c>
      <c r="I11" s="137">
        <v>437</v>
      </c>
      <c r="J11" s="138">
        <v>1881</v>
      </c>
      <c r="K11" s="137">
        <v>582</v>
      </c>
      <c r="L11" s="137">
        <v>366</v>
      </c>
      <c r="M11" s="137">
        <v>604</v>
      </c>
      <c r="N11" s="137">
        <v>589</v>
      </c>
      <c r="O11" s="139">
        <v>2141</v>
      </c>
      <c r="P11" s="68">
        <f>P15+P35</f>
        <v>701.52399359999993</v>
      </c>
      <c r="Q11" s="68">
        <f>Q15+Q35</f>
        <v>439.44075263999991</v>
      </c>
      <c r="R11" s="68">
        <f>R15+R35</f>
        <v>683.99333376000004</v>
      </c>
      <c r="S11" s="68">
        <f>S15+S35</f>
        <v>658.4854272</v>
      </c>
      <c r="T11" s="69">
        <f>SUM(P11:S11)</f>
        <v>2483.4435071999997</v>
      </c>
      <c r="U11" s="68">
        <f>U15+U35</f>
        <v>821.3481792</v>
      </c>
      <c r="V11" s="68">
        <f>V15+V35</f>
        <v>500.96460595199994</v>
      </c>
      <c r="W11" s="68">
        <f>W15+W35</f>
        <v>838.33106841599999</v>
      </c>
      <c r="X11" s="68">
        <f>X15+X35</f>
        <v>822.06810624000002</v>
      </c>
      <c r="Y11" s="69">
        <f>SUM(U11:X11)</f>
        <v>2982.7119598079998</v>
      </c>
    </row>
    <row r="12" spans="2:35" x14ac:dyDescent="0.2">
      <c r="B12" s="127" t="s">
        <v>47</v>
      </c>
      <c r="E12" s="22"/>
      <c r="H12" s="23">
        <f t="shared" ref="H12:O12" si="0">H11/C11-1</f>
        <v>-0.15833333333333333</v>
      </c>
      <c r="I12" s="23">
        <f t="shared" si="0"/>
        <v>0.1875</v>
      </c>
      <c r="J12" s="24">
        <f t="shared" si="0"/>
        <v>-0.14422202001819839</v>
      </c>
      <c r="K12" s="23">
        <f t="shared" si="0"/>
        <v>1.7482517482517501E-2</v>
      </c>
      <c r="L12" s="23">
        <f t="shared" si="0"/>
        <v>-2.7247956403270157E-3</v>
      </c>
      <c r="M12" s="23">
        <f t="shared" si="0"/>
        <v>0.19603960396039599</v>
      </c>
      <c r="N12" s="23">
        <f t="shared" si="0"/>
        <v>0.34782608695652173</v>
      </c>
      <c r="O12" s="31">
        <f t="shared" si="0"/>
        <v>0.13822434875066447</v>
      </c>
      <c r="P12" s="23">
        <f t="shared" ref="P12" si="1">P11/K11-1</f>
        <v>0.20536768659793792</v>
      </c>
      <c r="Q12" s="23">
        <f t="shared" ref="Q12" si="2">Q11/L11-1</f>
        <v>0.20065779409836049</v>
      </c>
      <c r="R12" s="23">
        <f t="shared" ref="R12" si="3">R11/M11-1</f>
        <v>0.13243929430463575</v>
      </c>
      <c r="S12" s="23">
        <f t="shared" ref="S12" si="4">S11/N11-1</f>
        <v>0.11797186281833616</v>
      </c>
      <c r="T12" s="24">
        <f t="shared" ref="T12" si="5">T11/O11-1</f>
        <v>0.15994558953759919</v>
      </c>
      <c r="U12" s="23">
        <f t="shared" ref="U12" si="6">U11/P11-1</f>
        <v>0.17080554149702021</v>
      </c>
      <c r="V12" s="23">
        <f t="shared" ref="V12" si="7">V11/Q11-1</f>
        <v>0.14000488789987542</v>
      </c>
      <c r="W12" s="23">
        <f t="shared" ref="W12" si="8">W11/R11-1</f>
        <v>0.22564216204796228</v>
      </c>
      <c r="X12" s="23">
        <f t="shared" ref="X12" si="9">X11/S11-1</f>
        <v>0.24842262604896725</v>
      </c>
      <c r="Y12" s="24">
        <f t="shared" ref="Y12" si="10">Y11/T11-1</f>
        <v>0.20103877988789409</v>
      </c>
    </row>
    <row r="13" spans="2:35" x14ac:dyDescent="0.2">
      <c r="B13" s="127" t="s">
        <v>48</v>
      </c>
      <c r="C13" s="23">
        <f t="shared" ref="C13:Y13" si="11">C11/C47</f>
        <v>1.1627906976744187</v>
      </c>
      <c r="D13" s="23">
        <f t="shared" si="11"/>
        <v>0.69829222011385195</v>
      </c>
      <c r="E13" s="24">
        <f t="shared" si="11"/>
        <v>0.860610806577917</v>
      </c>
      <c r="F13" s="23">
        <f t="shared" si="11"/>
        <v>1.1237721021611002</v>
      </c>
      <c r="G13" s="23">
        <f t="shared" si="11"/>
        <v>0.75051124744376274</v>
      </c>
      <c r="H13" s="23">
        <f t="shared" si="11"/>
        <v>0.77692307692307694</v>
      </c>
      <c r="I13" s="23">
        <f t="shared" si="11"/>
        <v>0.93576017130620981</v>
      </c>
      <c r="J13" s="24">
        <f t="shared" si="11"/>
        <v>0.88936170212765953</v>
      </c>
      <c r="K13" s="23">
        <f t="shared" si="11"/>
        <v>1.4923076923076923</v>
      </c>
      <c r="L13" s="23">
        <f t="shared" si="11"/>
        <v>0.580952380952381</v>
      </c>
      <c r="M13" s="23">
        <f t="shared" si="11"/>
        <v>0.74384236453201968</v>
      </c>
      <c r="N13" s="23">
        <f t="shared" si="11"/>
        <v>0.7863818424566088</v>
      </c>
      <c r="O13" s="31">
        <f t="shared" si="11"/>
        <v>0.8295234405269275</v>
      </c>
      <c r="P13" s="23">
        <f t="shared" si="11"/>
        <v>0.78249327247006983</v>
      </c>
      <c r="Q13" s="23">
        <f t="shared" si="11"/>
        <v>0.67664486845590999</v>
      </c>
      <c r="R13" s="23">
        <f t="shared" si="11"/>
        <v>0.74266914719953947</v>
      </c>
      <c r="S13" s="23">
        <f t="shared" si="11"/>
        <v>0.73533907666029741</v>
      </c>
      <c r="T13" s="24">
        <f t="shared" si="11"/>
        <v>0.73858296857098193</v>
      </c>
      <c r="U13" s="23">
        <f t="shared" si="11"/>
        <v>0.7797499396864197</v>
      </c>
      <c r="V13" s="23">
        <f t="shared" si="11"/>
        <v>0.68069116626061388</v>
      </c>
      <c r="W13" s="23">
        <f t="shared" si="11"/>
        <v>0.77743384473513788</v>
      </c>
      <c r="X13" s="23">
        <f t="shared" si="11"/>
        <v>0.77402579119933945</v>
      </c>
      <c r="Y13" s="24">
        <f t="shared" si="11"/>
        <v>0.75901541647691928</v>
      </c>
    </row>
    <row r="14" spans="2:35" x14ac:dyDescent="0.2">
      <c r="B14" s="125"/>
      <c r="E14" s="22"/>
      <c r="J14" s="22"/>
      <c r="O14" s="30"/>
      <c r="T14" s="22"/>
      <c r="Y14" s="22"/>
    </row>
    <row r="15" spans="2:35" x14ac:dyDescent="0.2">
      <c r="B15" s="9" t="s">
        <v>49</v>
      </c>
      <c r="C15" s="68">
        <f t="shared" ref="C15:Y15" si="12">C19+C25+C30</f>
        <v>228.52800000000002</v>
      </c>
      <c r="D15" s="68">
        <f t="shared" si="12"/>
        <v>203.13600000000002</v>
      </c>
      <c r="E15" s="69">
        <f t="shared" si="12"/>
        <v>431.66400000000004</v>
      </c>
      <c r="F15" s="68">
        <f t="shared" si="12"/>
        <v>253.92000000000002</v>
      </c>
      <c r="G15" s="68">
        <f t="shared" si="12"/>
        <v>177.744</v>
      </c>
      <c r="H15" s="68">
        <f t="shared" si="12"/>
        <v>228.52800000000002</v>
      </c>
      <c r="I15" s="68">
        <f t="shared" si="12"/>
        <v>203.13600000000002</v>
      </c>
      <c r="J15" s="69">
        <f t="shared" si="12"/>
        <v>863.32799999999997</v>
      </c>
      <c r="K15" s="68">
        <f t="shared" si="12"/>
        <v>228.52800000000002</v>
      </c>
      <c r="L15" s="68">
        <f t="shared" si="12"/>
        <v>240.42647040000006</v>
      </c>
      <c r="M15" s="68">
        <f t="shared" si="12"/>
        <v>279.86488320000001</v>
      </c>
      <c r="N15" s="68">
        <f t="shared" si="12"/>
        <v>286.12147199999998</v>
      </c>
      <c r="O15" s="70">
        <f t="shared" si="12"/>
        <v>1034.9408256000002</v>
      </c>
      <c r="P15" s="68">
        <f t="shared" si="12"/>
        <v>295.03119359999999</v>
      </c>
      <c r="Q15" s="68">
        <f t="shared" si="12"/>
        <v>295.03119359999999</v>
      </c>
      <c r="R15" s="68">
        <f t="shared" si="12"/>
        <v>295.03119359999999</v>
      </c>
      <c r="S15" s="68">
        <f t="shared" si="12"/>
        <v>295.03119359999999</v>
      </c>
      <c r="T15" s="69">
        <f t="shared" si="12"/>
        <v>1180.1247744</v>
      </c>
      <c r="U15" s="68">
        <f t="shared" si="12"/>
        <v>313.23217920000002</v>
      </c>
      <c r="V15" s="68">
        <f t="shared" si="12"/>
        <v>313.23217920000002</v>
      </c>
      <c r="W15" s="68">
        <f t="shared" si="12"/>
        <v>313.23217920000002</v>
      </c>
      <c r="X15" s="68">
        <f t="shared" si="12"/>
        <v>313.23217920000002</v>
      </c>
      <c r="Y15" s="69">
        <f t="shared" si="12"/>
        <v>1252.9287168000001</v>
      </c>
    </row>
    <row r="16" spans="2:35" x14ac:dyDescent="0.2">
      <c r="B16" s="127" t="s">
        <v>47</v>
      </c>
      <c r="E16" s="22"/>
      <c r="H16" s="23">
        <f>H15/C15-1</f>
        <v>0</v>
      </c>
      <c r="I16" s="23">
        <f t="shared" ref="I16:O16" si="13">I15/D15-1</f>
        <v>0</v>
      </c>
      <c r="J16" s="24">
        <f t="shared" si="13"/>
        <v>0.99999999999999978</v>
      </c>
      <c r="K16" s="23">
        <f t="shared" si="13"/>
        <v>-9.9999999999999978E-2</v>
      </c>
      <c r="L16" s="23">
        <f t="shared" si="13"/>
        <v>0.35265590062111829</v>
      </c>
      <c r="M16" s="23">
        <f t="shared" si="13"/>
        <v>0.22464154589371965</v>
      </c>
      <c r="N16" s="23">
        <f t="shared" si="13"/>
        <v>0.40852173913043455</v>
      </c>
      <c r="O16" s="31">
        <f t="shared" si="13"/>
        <v>0.19878056265984667</v>
      </c>
      <c r="P16" s="23">
        <f t="shared" ref="P16:Y16" si="14">P15/K15-1</f>
        <v>0.29100676328502395</v>
      </c>
      <c r="Q16" s="23">
        <f t="shared" si="14"/>
        <v>0.22711610376824765</v>
      </c>
      <c r="R16" s="23">
        <f t="shared" si="14"/>
        <v>5.4191544957649107E-2</v>
      </c>
      <c r="S16" s="23">
        <f t="shared" si="14"/>
        <v>3.113964686998405E-2</v>
      </c>
      <c r="T16" s="24">
        <f t="shared" si="14"/>
        <v>0.14028236707720021</v>
      </c>
      <c r="U16" s="23">
        <f t="shared" si="14"/>
        <v>6.169173292460961E-2</v>
      </c>
      <c r="V16" s="23">
        <f t="shared" si="14"/>
        <v>6.169173292460961E-2</v>
      </c>
      <c r="W16" s="23">
        <f t="shared" si="14"/>
        <v>6.169173292460961E-2</v>
      </c>
      <c r="X16" s="23">
        <f t="shared" si="14"/>
        <v>6.169173292460961E-2</v>
      </c>
      <c r="Y16" s="24">
        <f t="shared" si="14"/>
        <v>6.169173292460961E-2</v>
      </c>
    </row>
    <row r="17" spans="2:27" x14ac:dyDescent="0.2">
      <c r="B17" s="127" t="s">
        <v>48</v>
      </c>
      <c r="C17" s="23">
        <f t="shared" ref="C17:Y17" si="15">C15/C47</f>
        <v>0.44288372093023259</v>
      </c>
      <c r="D17" s="23">
        <f t="shared" si="15"/>
        <v>0.38545730550284635</v>
      </c>
      <c r="E17" s="24">
        <f t="shared" si="15"/>
        <v>0.16901487862176978</v>
      </c>
      <c r="F17" s="23">
        <f t="shared" si="15"/>
        <v>0.49886051080550103</v>
      </c>
      <c r="G17" s="23">
        <f t="shared" si="15"/>
        <v>0.3634846625766871</v>
      </c>
      <c r="H17" s="23">
        <f t="shared" si="15"/>
        <v>0.3515815384615385</v>
      </c>
      <c r="I17" s="23">
        <f t="shared" si="15"/>
        <v>0.43498072805139193</v>
      </c>
      <c r="J17" s="24">
        <f t="shared" si="15"/>
        <v>0.40819290780141843</v>
      </c>
      <c r="K17" s="23">
        <f t="shared" si="15"/>
        <v>0.5859692307692308</v>
      </c>
      <c r="L17" s="23">
        <f t="shared" si="15"/>
        <v>0.3816293180952382</v>
      </c>
      <c r="M17" s="23">
        <f t="shared" si="15"/>
        <v>0.34466118620689656</v>
      </c>
      <c r="N17" s="23">
        <f t="shared" si="15"/>
        <v>0.38200463551401864</v>
      </c>
      <c r="O17" s="31">
        <f t="shared" si="15"/>
        <v>0.40098443456024802</v>
      </c>
      <c r="P17" s="23">
        <f t="shared" si="15"/>
        <v>0.32908343302146287</v>
      </c>
      <c r="Q17" s="23">
        <f t="shared" si="15"/>
        <v>0.45428500198160898</v>
      </c>
      <c r="R17" s="23">
        <f t="shared" si="15"/>
        <v>0.32034020528196527</v>
      </c>
      <c r="S17" s="23">
        <f t="shared" si="15"/>
        <v>0.32946509751979131</v>
      </c>
      <c r="T17" s="24">
        <f t="shared" si="15"/>
        <v>0.3509723722861065</v>
      </c>
      <c r="U17" s="23">
        <f t="shared" si="15"/>
        <v>0.29736813086618191</v>
      </c>
      <c r="V17" s="23">
        <f t="shared" si="15"/>
        <v>0.42560766736169542</v>
      </c>
      <c r="W17" s="23">
        <f t="shared" si="15"/>
        <v>0.29047867429074281</v>
      </c>
      <c r="X17" s="23">
        <f t="shared" si="15"/>
        <v>0.29492664110677819</v>
      </c>
      <c r="Y17" s="24">
        <f t="shared" si="15"/>
        <v>0.31883474657038641</v>
      </c>
    </row>
    <row r="18" spans="2:27" x14ac:dyDescent="0.2">
      <c r="B18" s="9"/>
      <c r="E18" s="22"/>
      <c r="J18" s="22"/>
      <c r="O18" s="30"/>
      <c r="T18" s="22"/>
      <c r="Y18" s="22"/>
    </row>
    <row r="19" spans="2:27" x14ac:dyDescent="0.2">
      <c r="B19" s="8" t="s">
        <v>50</v>
      </c>
      <c r="C19" s="22"/>
      <c r="D19" s="22"/>
      <c r="E19" s="22"/>
      <c r="F19" s="22"/>
      <c r="G19" s="22"/>
      <c r="H19" s="22"/>
      <c r="I19" s="22"/>
      <c r="J19" s="22"/>
      <c r="K19" s="22"/>
      <c r="L19" s="62">
        <f>L22*L23</f>
        <v>41.150054400000009</v>
      </c>
      <c r="M19" s="62">
        <f t="shared" ref="M19:X19" si="16">M22*M23</f>
        <v>123.45016320000001</v>
      </c>
      <c r="N19" s="62">
        <f t="shared" si="16"/>
        <v>123.45016320000001</v>
      </c>
      <c r="O19" s="64">
        <f>SUM(L19:N19)</f>
        <v>288.05038080000003</v>
      </c>
      <c r="P19" s="62">
        <f t="shared" si="16"/>
        <v>244.32844800000001</v>
      </c>
      <c r="Q19" s="62">
        <f t="shared" si="16"/>
        <v>244.32844800000001</v>
      </c>
      <c r="R19" s="62">
        <f t="shared" si="16"/>
        <v>244.32844800000001</v>
      </c>
      <c r="S19" s="62">
        <f t="shared" si="16"/>
        <v>244.32844800000001</v>
      </c>
      <c r="T19" s="63">
        <f>SUM(P19:S19)</f>
        <v>977.31379200000003</v>
      </c>
      <c r="U19" s="62">
        <f t="shared" si="16"/>
        <v>244.32844800000001</v>
      </c>
      <c r="V19" s="62">
        <f t="shared" si="16"/>
        <v>244.32844800000001</v>
      </c>
      <c r="W19" s="62">
        <f t="shared" si="16"/>
        <v>244.32844800000001</v>
      </c>
      <c r="X19" s="62">
        <f t="shared" si="16"/>
        <v>244.32844800000001</v>
      </c>
      <c r="Y19" s="63">
        <f>SUM(U19:X19)</f>
        <v>977.31379200000003</v>
      </c>
    </row>
    <row r="20" spans="2:27" x14ac:dyDescent="0.2">
      <c r="B20" s="88" t="s">
        <v>51</v>
      </c>
      <c r="C20" s="22"/>
      <c r="D20" s="22"/>
      <c r="E20" s="22"/>
      <c r="F20" s="22"/>
      <c r="G20" s="22"/>
      <c r="H20" s="22"/>
      <c r="I20" s="22"/>
      <c r="J20" s="22"/>
      <c r="K20" s="22"/>
      <c r="L20" s="169">
        <v>320</v>
      </c>
      <c r="M20" s="169">
        <v>960</v>
      </c>
      <c r="N20" s="169">
        <v>960</v>
      </c>
      <c r="O20" s="57">
        <f>AVERAGE(L20:N20)</f>
        <v>746.66666666666663</v>
      </c>
      <c r="P20" s="169">
        <v>1900</v>
      </c>
      <c r="Q20" s="169">
        <v>1900</v>
      </c>
      <c r="R20" s="169">
        <v>1900</v>
      </c>
      <c r="S20" s="169">
        <v>1900</v>
      </c>
      <c r="T20" s="55">
        <f>AVERAGE(P20:S20)</f>
        <v>1900</v>
      </c>
      <c r="U20" s="169">
        <v>1900</v>
      </c>
      <c r="V20" s="169">
        <v>1900</v>
      </c>
      <c r="W20" s="169">
        <v>1900</v>
      </c>
      <c r="X20" s="169">
        <v>1900</v>
      </c>
      <c r="Y20" s="55">
        <f>AVERAGE(U20:X20)</f>
        <v>1900</v>
      </c>
      <c r="AA20" s="8" t="s">
        <v>52</v>
      </c>
    </row>
    <row r="21" spans="2:27" x14ac:dyDescent="0.2">
      <c r="B21" s="88" t="s">
        <v>53</v>
      </c>
      <c r="C21" s="170"/>
      <c r="D21" s="170"/>
      <c r="E21" s="24"/>
      <c r="F21" s="170"/>
      <c r="G21" s="170"/>
      <c r="H21" s="170"/>
      <c r="I21" s="170"/>
      <c r="J21" s="24"/>
      <c r="K21" s="170"/>
      <c r="L21" s="168">
        <v>0.92</v>
      </c>
      <c r="M21" s="168">
        <v>0.92</v>
      </c>
      <c r="N21" s="168">
        <v>0.92</v>
      </c>
      <c r="O21" s="31">
        <f>AVERAGE(K21:N21)</f>
        <v>0.92</v>
      </c>
      <c r="P21" s="168">
        <v>0.92</v>
      </c>
      <c r="Q21" s="168">
        <v>0.92</v>
      </c>
      <c r="R21" s="168">
        <v>0.92</v>
      </c>
      <c r="S21" s="168">
        <v>0.92</v>
      </c>
      <c r="T21" s="24">
        <f>AVERAGE(P21:S21)</f>
        <v>0.92</v>
      </c>
      <c r="U21" s="168">
        <v>0.92</v>
      </c>
      <c r="V21" s="168">
        <v>0.92</v>
      </c>
      <c r="W21" s="168">
        <v>0.92</v>
      </c>
      <c r="X21" s="168">
        <v>0.92</v>
      </c>
      <c r="Y21" s="24">
        <f>AVERAGE(U21:X21)</f>
        <v>0.92</v>
      </c>
      <c r="AA21" s="8" t="s">
        <v>54</v>
      </c>
    </row>
    <row r="22" spans="2:27" x14ac:dyDescent="0.2">
      <c r="B22" s="88" t="s">
        <v>55</v>
      </c>
      <c r="C22" s="22"/>
      <c r="D22" s="22"/>
      <c r="E22" s="22"/>
      <c r="F22" s="22"/>
      <c r="G22" s="22"/>
      <c r="H22" s="22"/>
      <c r="I22" s="22"/>
      <c r="J22" s="22"/>
      <c r="K22" s="22"/>
      <c r="L22" s="105">
        <f>L21*L20*2184/1000000</f>
        <v>0.64296960000000014</v>
      </c>
      <c r="M22" s="105">
        <f t="shared" ref="M22:X22" si="17">M21*M20*2184/1000000</f>
        <v>1.9289088000000001</v>
      </c>
      <c r="N22" s="105">
        <f t="shared" si="17"/>
        <v>1.9289088000000001</v>
      </c>
      <c r="O22" s="173">
        <f>SUM(L22:N22)</f>
        <v>4.5007872000000004</v>
      </c>
      <c r="P22" s="105">
        <f t="shared" si="17"/>
        <v>3.8176320000000001</v>
      </c>
      <c r="Q22" s="105">
        <f t="shared" si="17"/>
        <v>3.8176320000000001</v>
      </c>
      <c r="R22" s="105">
        <f t="shared" si="17"/>
        <v>3.8176320000000001</v>
      </c>
      <c r="S22" s="105">
        <f t="shared" si="17"/>
        <v>3.8176320000000001</v>
      </c>
      <c r="T22" s="171">
        <f>SUM(P22:S22)</f>
        <v>15.270528000000001</v>
      </c>
      <c r="U22" s="105">
        <f>U21*U20*2184/1000000</f>
        <v>3.8176320000000001</v>
      </c>
      <c r="V22" s="105">
        <f t="shared" si="17"/>
        <v>3.8176320000000001</v>
      </c>
      <c r="W22" s="105">
        <f t="shared" si="17"/>
        <v>3.8176320000000001</v>
      </c>
      <c r="X22" s="105">
        <f t="shared" si="17"/>
        <v>3.8176320000000001</v>
      </c>
      <c r="Y22" s="171">
        <f>SUM(U22:X22)</f>
        <v>15.270528000000001</v>
      </c>
      <c r="AA22" s="8" t="s">
        <v>56</v>
      </c>
    </row>
    <row r="23" spans="2:27" x14ac:dyDescent="0.2">
      <c r="B23" s="88" t="s">
        <v>57</v>
      </c>
      <c r="C23" s="39"/>
      <c r="D23" s="39"/>
      <c r="E23" s="22"/>
      <c r="F23" s="39"/>
      <c r="G23" s="39"/>
      <c r="H23" s="39"/>
      <c r="I23" s="39"/>
      <c r="J23" s="22"/>
      <c r="K23" s="39"/>
      <c r="L23" s="33">
        <v>64</v>
      </c>
      <c r="M23" s="33">
        <v>64</v>
      </c>
      <c r="N23" s="33">
        <v>64</v>
      </c>
      <c r="O23" s="30">
        <f>AVERAGE(K23:N23)</f>
        <v>64</v>
      </c>
      <c r="P23" s="33">
        <v>64</v>
      </c>
      <c r="Q23" s="33">
        <v>64</v>
      </c>
      <c r="R23" s="33">
        <v>64</v>
      </c>
      <c r="S23" s="33">
        <v>64</v>
      </c>
      <c r="T23" s="22">
        <f>AVERAGE(P23:S23)</f>
        <v>64</v>
      </c>
      <c r="U23" s="33">
        <v>64</v>
      </c>
      <c r="V23" s="33">
        <v>64</v>
      </c>
      <c r="W23" s="33">
        <v>64</v>
      </c>
      <c r="X23" s="33">
        <v>64</v>
      </c>
      <c r="Y23" s="195">
        <f>AVERAGE(U23:X23)</f>
        <v>64</v>
      </c>
      <c r="AA23" s="8" t="s">
        <v>58</v>
      </c>
    </row>
    <row r="24" spans="2:27" x14ac:dyDescent="0.2">
      <c r="E24" s="22"/>
      <c r="J24" s="22"/>
      <c r="O24" s="30"/>
      <c r="T24" s="22"/>
      <c r="Y24" s="22"/>
    </row>
    <row r="25" spans="2:27" x14ac:dyDescent="0.2">
      <c r="B25" s="89" t="s">
        <v>59</v>
      </c>
      <c r="C25" s="62">
        <f>C26*C27*2208/1000000*C28</f>
        <v>228.52800000000002</v>
      </c>
      <c r="D25" s="62">
        <f>D26*D27*2208/1000000*D28</f>
        <v>203.13600000000002</v>
      </c>
      <c r="E25" s="63">
        <f>SUM(C25:D25)</f>
        <v>431.66400000000004</v>
      </c>
      <c r="F25" s="62">
        <f>F26*F27*2208/1000000*F28</f>
        <v>253.92000000000002</v>
      </c>
      <c r="G25" s="62">
        <f>G26*G27*2208/1000000*G28</f>
        <v>177.744</v>
      </c>
      <c r="H25" s="62">
        <f t="shared" ref="H25:I25" si="18">H26*H27*2208/1000000*H28</f>
        <v>228.52800000000002</v>
      </c>
      <c r="I25" s="62">
        <f t="shared" si="18"/>
        <v>203.13600000000002</v>
      </c>
      <c r="J25" s="63">
        <f>SUM(F25:I25)</f>
        <v>863.32799999999997</v>
      </c>
      <c r="K25" s="62">
        <f>K26*K27*2208/1000000*K28</f>
        <v>228.52800000000002</v>
      </c>
      <c r="L25" s="62">
        <f>L26*L27*2208/1000000*L28</f>
        <v>199.27641600000004</v>
      </c>
      <c r="M25" s="62">
        <f t="shared" ref="M25" si="19">M26*M27*2208/1000000*M28</f>
        <v>156.41471999999999</v>
      </c>
      <c r="N25" s="62">
        <f>N26*N27*2208/1000000*N28</f>
        <v>162.67130879999999</v>
      </c>
      <c r="O25" s="64">
        <f>SUM(K25:N25)</f>
        <v>746.89044480000007</v>
      </c>
      <c r="P25" s="62">
        <f>P26*P27*2208/1000000*P28</f>
        <v>40.627200000000002</v>
      </c>
      <c r="Q25" s="62">
        <f>Q26*Q27*2208/1000000*Q28</f>
        <v>40.627200000000002</v>
      </c>
      <c r="R25" s="62">
        <f t="shared" ref="R25" si="20">R26*R27*2208/1000000*R28</f>
        <v>40.627200000000002</v>
      </c>
      <c r="S25" s="62">
        <f t="shared" ref="S25" si="21">S26*S27*2208/1000000*S28</f>
        <v>40.627200000000002</v>
      </c>
      <c r="T25" s="63">
        <f>SUM(P25:S25)</f>
        <v>162.50880000000001</v>
      </c>
      <c r="U25" s="62">
        <f>U26*U27*2208/1000000*U28</f>
        <v>48.75264</v>
      </c>
      <c r="V25" s="62">
        <f>V26*V27*2208/1000000*V28</f>
        <v>48.75264</v>
      </c>
      <c r="W25" s="62">
        <f t="shared" ref="W25" si="22">W26*W27*2208/1000000*W28</f>
        <v>48.75264</v>
      </c>
      <c r="X25" s="62">
        <f t="shared" ref="X25" si="23">X26*X27*2208/1000000*X28</f>
        <v>48.75264</v>
      </c>
      <c r="Y25" s="63">
        <f>SUM(U25:X25)</f>
        <v>195.01056</v>
      </c>
      <c r="AA25" s="8" t="s">
        <v>60</v>
      </c>
    </row>
    <row r="26" spans="2:27" x14ac:dyDescent="0.2">
      <c r="B26" s="88" t="s">
        <v>61</v>
      </c>
      <c r="C26" s="50">
        <f>2500-C20</f>
        <v>2500</v>
      </c>
      <c r="D26" s="50">
        <f>2500-D20</f>
        <v>2500</v>
      </c>
      <c r="E26" s="55"/>
      <c r="F26" s="50">
        <f>2500-F20</f>
        <v>2500</v>
      </c>
      <c r="G26" s="50">
        <f>2500-G20</f>
        <v>2500</v>
      </c>
      <c r="H26" s="50">
        <f>2500-H20</f>
        <v>2500</v>
      </c>
      <c r="I26" s="50">
        <f>2500-I20</f>
        <v>2500</v>
      </c>
      <c r="J26" s="55"/>
      <c r="K26" s="50">
        <f>2500-K20</f>
        <v>2500</v>
      </c>
      <c r="L26" s="50">
        <f>2500-L20</f>
        <v>2180</v>
      </c>
      <c r="M26" s="50">
        <f>2500-M20</f>
        <v>1540</v>
      </c>
      <c r="N26" s="50">
        <f>2500-N20</f>
        <v>1540</v>
      </c>
      <c r="O26" s="57"/>
      <c r="P26" s="50">
        <f>2300-P20</f>
        <v>400</v>
      </c>
      <c r="Q26" s="50">
        <f>2300-Q20</f>
        <v>400</v>
      </c>
      <c r="R26" s="50">
        <f>2300-R20</f>
        <v>400</v>
      </c>
      <c r="S26" s="50">
        <f>2300-S20</f>
        <v>400</v>
      </c>
      <c r="T26" s="55">
        <f>AVERAGE(P26:S26)</f>
        <v>400</v>
      </c>
      <c r="U26" s="50">
        <f>2300-U20</f>
        <v>400</v>
      </c>
      <c r="V26" s="50">
        <f>2300-V20</f>
        <v>400</v>
      </c>
      <c r="W26" s="50">
        <f>2300-W20</f>
        <v>400</v>
      </c>
      <c r="X26" s="50">
        <f>2300-X20</f>
        <v>400</v>
      </c>
      <c r="Y26" s="55">
        <f>AVERAGE(U26:X26)</f>
        <v>400</v>
      </c>
      <c r="AA26" s="8" t="s">
        <v>62</v>
      </c>
    </row>
    <row r="27" spans="2:27" x14ac:dyDescent="0.2">
      <c r="B27" s="88" t="s">
        <v>53</v>
      </c>
      <c r="C27" s="168">
        <v>0.92</v>
      </c>
      <c r="D27" s="168">
        <v>0.92</v>
      </c>
      <c r="E27" s="170"/>
      <c r="F27" s="168">
        <v>0.92</v>
      </c>
      <c r="G27" s="168">
        <v>0.92</v>
      </c>
      <c r="H27" s="168">
        <v>0.92</v>
      </c>
      <c r="I27" s="168">
        <v>0.92</v>
      </c>
      <c r="J27" s="170"/>
      <c r="K27" s="168">
        <v>0.92</v>
      </c>
      <c r="L27" s="168">
        <v>0.92</v>
      </c>
      <c r="M27" s="168">
        <v>0.92</v>
      </c>
      <c r="N27" s="168">
        <v>0.92</v>
      </c>
      <c r="O27" s="172"/>
      <c r="P27" s="168">
        <v>0.92</v>
      </c>
      <c r="Q27" s="168">
        <v>0.92</v>
      </c>
      <c r="R27" s="168">
        <v>0.92</v>
      </c>
      <c r="S27" s="168">
        <v>0.92</v>
      </c>
      <c r="T27" s="24">
        <f>AVERAGE(P27:S27)</f>
        <v>0.92</v>
      </c>
      <c r="U27" s="168">
        <v>0.92</v>
      </c>
      <c r="V27" s="168">
        <v>0.92</v>
      </c>
      <c r="W27" s="168">
        <v>0.92</v>
      </c>
      <c r="X27" s="168">
        <v>0.92</v>
      </c>
      <c r="Y27" s="24">
        <f>AVERAGE(U27:X27)</f>
        <v>0.92</v>
      </c>
      <c r="AA27" s="8" t="s">
        <v>63</v>
      </c>
    </row>
    <row r="28" spans="2:27" x14ac:dyDescent="0.2">
      <c r="B28" s="88" t="s">
        <v>64</v>
      </c>
      <c r="C28" s="33">
        <v>45</v>
      </c>
      <c r="D28" s="33">
        <v>40</v>
      </c>
      <c r="E28" s="55">
        <f>AVERAGE(C28:D28)</f>
        <v>42.5</v>
      </c>
      <c r="F28" s="33">
        <v>50</v>
      </c>
      <c r="G28" s="33">
        <v>35</v>
      </c>
      <c r="H28" s="33">
        <v>45</v>
      </c>
      <c r="I28" s="33">
        <v>40</v>
      </c>
      <c r="J28" s="55">
        <f>AVERAGE(F28:I28)</f>
        <v>42.5</v>
      </c>
      <c r="K28" s="33">
        <v>45</v>
      </c>
      <c r="L28" s="33">
        <v>45</v>
      </c>
      <c r="M28" s="33">
        <v>50</v>
      </c>
      <c r="N28" s="33">
        <v>52</v>
      </c>
      <c r="O28" s="57">
        <f>AVERAGE(K28:N28)</f>
        <v>48</v>
      </c>
      <c r="P28" s="217">
        <f>IF($C$7="Bull", 60, IF($C$7="Bear", 40, 50))</f>
        <v>50</v>
      </c>
      <c r="Q28" s="218">
        <f t="shared" ref="Q28:S28" si="24">IF($C$7="Bull", 60, IF($C$7="Bear", 40, 50))</f>
        <v>50</v>
      </c>
      <c r="R28" s="218">
        <f t="shared" si="24"/>
        <v>50</v>
      </c>
      <c r="S28" s="217">
        <f t="shared" si="24"/>
        <v>50</v>
      </c>
      <c r="T28" s="55">
        <f>AVERAGE(P28:S28)</f>
        <v>50</v>
      </c>
      <c r="U28" s="218">
        <f>IF($C$7="Bull",80,IF($C$7="Bear",42,60))</f>
        <v>60</v>
      </c>
      <c r="V28" s="218">
        <f t="shared" ref="V28:X28" si="25">IF($C$7="Bull",80,IF($C$7="Bear",42,60))</f>
        <v>60</v>
      </c>
      <c r="W28" s="218">
        <f t="shared" si="25"/>
        <v>60</v>
      </c>
      <c r="X28" s="217">
        <f t="shared" si="25"/>
        <v>60</v>
      </c>
      <c r="Y28" s="55">
        <f>AVERAGE(U28:X28)</f>
        <v>60</v>
      </c>
      <c r="AA28" s="8" t="s">
        <v>65</v>
      </c>
    </row>
    <row r="29" spans="2:27" x14ac:dyDescent="0.2">
      <c r="E29" s="22"/>
      <c r="J29" s="22"/>
      <c r="O29" s="30"/>
      <c r="T29" s="22"/>
      <c r="Y29" s="22"/>
    </row>
    <row r="30" spans="2:27" x14ac:dyDescent="0.2">
      <c r="B30" s="8" t="s">
        <v>66</v>
      </c>
      <c r="C30" s="154"/>
      <c r="D30" s="154"/>
      <c r="E30" s="22"/>
      <c r="F30" s="154"/>
      <c r="G30" s="154"/>
      <c r="H30" s="154"/>
      <c r="I30" s="154"/>
      <c r="J30" s="22"/>
      <c r="K30" s="154"/>
      <c r="L30" s="154"/>
      <c r="M30" s="154"/>
      <c r="N30" s="154"/>
      <c r="O30" s="30"/>
      <c r="P30" s="62">
        <f>P31*P32*0.92*2208/1000000*P33</f>
        <v>10.0755456</v>
      </c>
      <c r="Q30" s="62">
        <f t="shared" ref="Q30:U30" si="26">Q31*Q32*0.92*2208/1000000*Q33</f>
        <v>10.0755456</v>
      </c>
      <c r="R30" s="62">
        <f t="shared" si="26"/>
        <v>10.0755456</v>
      </c>
      <c r="S30" s="62">
        <f t="shared" si="26"/>
        <v>10.0755456</v>
      </c>
      <c r="T30" s="63">
        <f>SUM(P30:S30)</f>
        <v>40.3021824</v>
      </c>
      <c r="U30" s="62">
        <f t="shared" si="26"/>
        <v>20.1510912</v>
      </c>
      <c r="V30" s="62">
        <f t="shared" ref="V30" si="27">V31*V32*0.92*2208/1000000*V33</f>
        <v>20.1510912</v>
      </c>
      <c r="W30" s="62">
        <f t="shared" ref="W30" si="28">W31*W32*0.92*2208/1000000*W33</f>
        <v>20.1510912</v>
      </c>
      <c r="X30" s="62">
        <f t="shared" ref="X30" si="29">X31*X32*0.92*2208/1000000*X33</f>
        <v>20.1510912</v>
      </c>
      <c r="Y30" s="63">
        <f>SUM(U30:X30)</f>
        <v>80.604364799999999</v>
      </c>
      <c r="AA30" s="8" t="s">
        <v>60</v>
      </c>
    </row>
    <row r="31" spans="2:27" x14ac:dyDescent="0.2">
      <c r="B31" s="88" t="s">
        <v>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30"/>
      <c r="P31" s="241">
        <f>IF($C$7="Bull", 0.5, IF($C$7="Bear", 0, 0.2))</f>
        <v>0.2</v>
      </c>
      <c r="Q31" s="242">
        <f t="shared" ref="Q31:S31" si="30">IF($C$7="Bull", 0.5, IF($C$7="Bear", 0, 0.2))</f>
        <v>0.2</v>
      </c>
      <c r="R31" s="242">
        <f t="shared" si="30"/>
        <v>0.2</v>
      </c>
      <c r="S31" s="241">
        <f t="shared" si="30"/>
        <v>0.2</v>
      </c>
      <c r="T31" s="243">
        <f>AVERAGE(P31:S31)</f>
        <v>0.2</v>
      </c>
      <c r="U31" s="242">
        <f>IF($C$7="Bull", 0.8, IF($C$7="Bear", 0.1, 0.4))</f>
        <v>0.4</v>
      </c>
      <c r="V31" s="242">
        <f t="shared" ref="V31:X31" si="31">IF($C$7="Bull", 0.8, IF($C$7="Bear", 0.1, 0.4))</f>
        <v>0.4</v>
      </c>
      <c r="W31" s="242">
        <f t="shared" si="31"/>
        <v>0.4</v>
      </c>
      <c r="X31" s="241">
        <f t="shared" si="31"/>
        <v>0.4</v>
      </c>
      <c r="Y31" s="243">
        <f>AVERAGE(U31:X31)</f>
        <v>0.4</v>
      </c>
      <c r="AA31" s="8" t="s">
        <v>65</v>
      </c>
    </row>
    <row r="32" spans="2:27" x14ac:dyDescent="0.2">
      <c r="B32" s="88" t="s">
        <v>68</v>
      </c>
      <c r="C32" s="33">
        <v>400</v>
      </c>
      <c r="D32" s="33">
        <v>400</v>
      </c>
      <c r="E32" s="22">
        <f>AVERAGE(C32:D32)</f>
        <v>400</v>
      </c>
      <c r="F32" s="33">
        <v>400</v>
      </c>
      <c r="G32" s="33">
        <v>400</v>
      </c>
      <c r="H32" s="33">
        <v>400</v>
      </c>
      <c r="I32" s="33">
        <v>400</v>
      </c>
      <c r="J32" s="22">
        <f>AVERAGE(F32:I32)</f>
        <v>400</v>
      </c>
      <c r="K32" s="33">
        <v>400</v>
      </c>
      <c r="L32" s="33">
        <v>400</v>
      </c>
      <c r="M32" s="33">
        <v>400</v>
      </c>
      <c r="N32" s="33">
        <v>400</v>
      </c>
      <c r="O32" s="30">
        <f>AVERAGE(K32:N32)</f>
        <v>400</v>
      </c>
      <c r="P32" s="33">
        <v>400</v>
      </c>
      <c r="Q32" s="33">
        <v>400</v>
      </c>
      <c r="R32" s="33">
        <v>400</v>
      </c>
      <c r="S32" s="33">
        <v>400</v>
      </c>
      <c r="T32" s="22">
        <f>AVERAGE(P32:S32)</f>
        <v>400</v>
      </c>
      <c r="U32" s="33">
        <v>400</v>
      </c>
      <c r="V32" s="33">
        <v>400</v>
      </c>
      <c r="W32" s="33">
        <v>400</v>
      </c>
      <c r="X32" s="33">
        <v>400</v>
      </c>
      <c r="Y32" s="22">
        <f>AVERAGE(U32:X32)</f>
        <v>400</v>
      </c>
      <c r="AA32" s="8" t="s">
        <v>69</v>
      </c>
    </row>
    <row r="33" spans="2:35" x14ac:dyDescent="0.2">
      <c r="B33" s="88" t="s">
        <v>70</v>
      </c>
      <c r="C33" s="33">
        <v>62</v>
      </c>
      <c r="D33" s="33">
        <v>62</v>
      </c>
      <c r="E33" s="39"/>
      <c r="F33" s="33">
        <v>62</v>
      </c>
      <c r="G33" s="33">
        <v>62</v>
      </c>
      <c r="H33" s="33">
        <v>62</v>
      </c>
      <c r="I33" s="33">
        <v>62</v>
      </c>
      <c r="J33" s="39"/>
      <c r="K33" s="33">
        <v>62</v>
      </c>
      <c r="L33" s="33">
        <v>62</v>
      </c>
      <c r="M33" s="33">
        <v>62</v>
      </c>
      <c r="N33" s="33">
        <v>62</v>
      </c>
      <c r="O33" s="40"/>
      <c r="P33" s="33">
        <v>62</v>
      </c>
      <c r="Q33" s="33">
        <v>62</v>
      </c>
      <c r="R33" s="33">
        <v>62</v>
      </c>
      <c r="S33" s="33">
        <v>62</v>
      </c>
      <c r="T33" s="22">
        <f>AVERAGE(P33:S33)</f>
        <v>62</v>
      </c>
      <c r="U33" s="33">
        <v>62</v>
      </c>
      <c r="V33" s="33">
        <v>62</v>
      </c>
      <c r="W33" s="33">
        <v>62</v>
      </c>
      <c r="X33" s="33">
        <v>62</v>
      </c>
      <c r="Y33" s="22">
        <f>AVERAGE(U33:X33)</f>
        <v>62</v>
      </c>
    </row>
    <row r="34" spans="2:35" x14ac:dyDescent="0.2">
      <c r="E34" s="22"/>
      <c r="J34" s="22"/>
      <c r="O34" s="30"/>
      <c r="T34" s="22"/>
      <c r="Y34" s="22"/>
    </row>
    <row r="35" spans="2:35" x14ac:dyDescent="0.2">
      <c r="B35" s="9" t="s">
        <v>71</v>
      </c>
      <c r="C35" s="68">
        <f t="shared" ref="C35:O35" si="32">C11-C15</f>
        <v>371.47199999999998</v>
      </c>
      <c r="D35" s="68">
        <f t="shared" si="32"/>
        <v>164.86399999999998</v>
      </c>
      <c r="E35" s="69">
        <f t="shared" si="32"/>
        <v>1766.336</v>
      </c>
      <c r="F35" s="68">
        <f t="shared" si="32"/>
        <v>318.08</v>
      </c>
      <c r="G35" s="68">
        <f t="shared" si="32"/>
        <v>189.256</v>
      </c>
      <c r="H35" s="68">
        <f t="shared" si="32"/>
        <v>276.47199999999998</v>
      </c>
      <c r="I35" s="68">
        <f t="shared" si="32"/>
        <v>233.86399999999998</v>
      </c>
      <c r="J35" s="69">
        <f t="shared" si="32"/>
        <v>1017.672</v>
      </c>
      <c r="K35" s="68">
        <f t="shared" si="32"/>
        <v>353.47199999999998</v>
      </c>
      <c r="L35" s="68">
        <f t="shared" si="32"/>
        <v>125.57352959999994</v>
      </c>
      <c r="M35" s="68">
        <f t="shared" si="32"/>
        <v>324.13511679999999</v>
      </c>
      <c r="N35" s="68">
        <f t="shared" si="32"/>
        <v>302.87852800000002</v>
      </c>
      <c r="O35" s="70">
        <f t="shared" si="32"/>
        <v>1106.0591743999998</v>
      </c>
      <c r="P35" s="68">
        <f>K35*(1+P36)</f>
        <v>406.49279999999993</v>
      </c>
      <c r="Q35" s="68">
        <f t="shared" ref="Q35:S35" si="33">L35*(1+Q36)</f>
        <v>144.40955903999992</v>
      </c>
      <c r="R35" s="68">
        <f t="shared" si="33"/>
        <v>388.96214015999999</v>
      </c>
      <c r="S35" s="68">
        <f t="shared" si="33"/>
        <v>363.45423360000001</v>
      </c>
      <c r="T35" s="69">
        <f>SUM(P35:S35)</f>
        <v>1303.3187327999999</v>
      </c>
      <c r="U35" s="68">
        <f>P35*(1+U36)</f>
        <v>508.11599999999993</v>
      </c>
      <c r="V35" s="68">
        <f t="shared" ref="V35:X35" si="34">Q35*(1+V36)</f>
        <v>187.7324267519999</v>
      </c>
      <c r="W35" s="68">
        <f t="shared" si="34"/>
        <v>525.09888921599998</v>
      </c>
      <c r="X35" s="68">
        <f t="shared" si="34"/>
        <v>508.83592704</v>
      </c>
      <c r="Y35" s="69">
        <f>SUM(U35:X35)</f>
        <v>1729.7832430079998</v>
      </c>
    </row>
    <row r="36" spans="2:35" x14ac:dyDescent="0.2">
      <c r="B36" s="127" t="s">
        <v>47</v>
      </c>
      <c r="E36" s="22"/>
      <c r="H36" s="23">
        <f>H35/C35-1</f>
        <v>-0.25573932894000084</v>
      </c>
      <c r="I36" s="23">
        <f t="shared" ref="I36:O36" si="35">I35/D35-1</f>
        <v>0.41852678571428581</v>
      </c>
      <c r="J36" s="24">
        <f t="shared" si="35"/>
        <v>-0.42385140765969775</v>
      </c>
      <c r="K36" s="23">
        <f t="shared" si="35"/>
        <v>0.11126760563380289</v>
      </c>
      <c r="L36" s="23">
        <f t="shared" si="35"/>
        <v>-0.33648851502726496</v>
      </c>
      <c r="M36" s="23">
        <f t="shared" si="35"/>
        <v>0.1723976272461587</v>
      </c>
      <c r="N36" s="23">
        <f t="shared" si="35"/>
        <v>0.29510539458830798</v>
      </c>
      <c r="O36" s="31">
        <f t="shared" si="35"/>
        <v>8.6852320197470023E-2</v>
      </c>
      <c r="P36" s="181">
        <v>0.15</v>
      </c>
      <c r="Q36" s="183">
        <v>0.15</v>
      </c>
      <c r="R36" s="183">
        <v>0.2</v>
      </c>
      <c r="S36" s="183">
        <v>0.2</v>
      </c>
      <c r="T36" s="216">
        <f>AVERAGE(P36:S36)</f>
        <v>0.17499999999999999</v>
      </c>
      <c r="U36" s="215">
        <v>0.25</v>
      </c>
      <c r="V36" s="183">
        <v>0.3</v>
      </c>
      <c r="W36" s="183">
        <v>0.35</v>
      </c>
      <c r="X36" s="183">
        <v>0.4</v>
      </c>
      <c r="Y36" s="24">
        <f>AVERAGE(U36:X36)</f>
        <v>0.32500000000000001</v>
      </c>
      <c r="AA36" s="8" t="s">
        <v>72</v>
      </c>
    </row>
    <row r="37" spans="2:35" x14ac:dyDescent="0.2">
      <c r="B37" s="127" t="s">
        <v>48</v>
      </c>
      <c r="C37" s="23">
        <f t="shared" ref="C37:Y37" si="36">C35/C47</f>
        <v>0.71990697674418602</v>
      </c>
      <c r="D37" s="23">
        <f t="shared" si="36"/>
        <v>0.31283491461100565</v>
      </c>
      <c r="E37" s="24">
        <f t="shared" si="36"/>
        <v>0.69159592795614722</v>
      </c>
      <c r="F37" s="23">
        <f t="shared" si="36"/>
        <v>0.62491159135559915</v>
      </c>
      <c r="G37" s="23">
        <f t="shared" si="36"/>
        <v>0.38702658486707564</v>
      </c>
      <c r="H37" s="23">
        <f t="shared" si="36"/>
        <v>0.42534153846153844</v>
      </c>
      <c r="I37" s="23">
        <f t="shared" si="36"/>
        <v>0.50077944325481794</v>
      </c>
      <c r="J37" s="24">
        <f t="shared" si="36"/>
        <v>0.48116879432624116</v>
      </c>
      <c r="K37" s="23">
        <f t="shared" si="36"/>
        <v>0.90633846153846154</v>
      </c>
      <c r="L37" s="23">
        <f t="shared" si="36"/>
        <v>0.19932306285714277</v>
      </c>
      <c r="M37" s="23">
        <f t="shared" si="36"/>
        <v>0.39918117832512312</v>
      </c>
      <c r="N37" s="23">
        <f t="shared" si="36"/>
        <v>0.40437720694259016</v>
      </c>
      <c r="O37" s="31">
        <f t="shared" si="36"/>
        <v>0.42853900596667954</v>
      </c>
      <c r="P37" s="23">
        <f t="shared" si="36"/>
        <v>0.45340983944860702</v>
      </c>
      <c r="Q37" s="23">
        <f t="shared" si="36"/>
        <v>0.222359866474301</v>
      </c>
      <c r="R37" s="23">
        <f t="shared" si="36"/>
        <v>0.42232894191757409</v>
      </c>
      <c r="S37" s="23">
        <f t="shared" si="36"/>
        <v>0.4058739791405061</v>
      </c>
      <c r="T37" s="24">
        <f t="shared" si="36"/>
        <v>0.38761059628487549</v>
      </c>
      <c r="U37" s="23">
        <f t="shared" si="36"/>
        <v>0.48238180882023773</v>
      </c>
      <c r="V37" s="23">
        <f t="shared" si="36"/>
        <v>0.2550834988989184</v>
      </c>
      <c r="W37" s="23">
        <f t="shared" si="36"/>
        <v>0.48695517044439507</v>
      </c>
      <c r="X37" s="23">
        <f t="shared" si="36"/>
        <v>0.47909915009256127</v>
      </c>
      <c r="Y37" s="24">
        <f t="shared" si="36"/>
        <v>0.44018066990653293</v>
      </c>
    </row>
    <row r="38" spans="2:35" x14ac:dyDescent="0.2">
      <c r="E38" s="22"/>
      <c r="J38" s="22"/>
      <c r="O38" s="30"/>
      <c r="T38" s="22"/>
      <c r="Y38" s="22"/>
    </row>
    <row r="39" spans="2:35" x14ac:dyDescent="0.2">
      <c r="B39" s="124" t="s">
        <v>73</v>
      </c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74"/>
      <c r="P39" s="126"/>
      <c r="Q39" s="126"/>
      <c r="R39" s="126"/>
      <c r="S39" s="126"/>
      <c r="T39" s="126"/>
      <c r="U39" s="126"/>
      <c r="V39" s="126"/>
      <c r="W39" s="126"/>
      <c r="X39" s="126"/>
      <c r="Y39" s="126"/>
    </row>
    <row r="40" spans="2:35" x14ac:dyDescent="0.2">
      <c r="B40" s="9" t="s">
        <v>74</v>
      </c>
      <c r="C40" s="137">
        <v>44</v>
      </c>
      <c r="D40" s="137">
        <v>63</v>
      </c>
      <c r="E40" s="138">
        <v>241</v>
      </c>
      <c r="F40" s="137">
        <v>45</v>
      </c>
      <c r="G40" s="137">
        <v>46</v>
      </c>
      <c r="H40" s="137">
        <v>50</v>
      </c>
      <c r="I40" s="137">
        <v>51</v>
      </c>
      <c r="J40" s="138">
        <v>192</v>
      </c>
      <c r="K40" s="137">
        <v>49</v>
      </c>
      <c r="L40" s="137">
        <v>88</v>
      </c>
      <c r="M40" s="137">
        <v>166</v>
      </c>
      <c r="N40" s="137">
        <v>182</v>
      </c>
      <c r="O40" s="139">
        <v>485</v>
      </c>
      <c r="P40" s="213">
        <v>170</v>
      </c>
      <c r="Q40" s="214">
        <v>185</v>
      </c>
      <c r="R40" s="214">
        <v>212</v>
      </c>
      <c r="S40" s="214">
        <v>212</v>
      </c>
      <c r="T40" s="69">
        <f>SUM(P40:S40)</f>
        <v>779</v>
      </c>
      <c r="U40" s="214">
        <v>207</v>
      </c>
      <c r="V40" s="214">
        <v>210</v>
      </c>
      <c r="W40" s="214">
        <v>215</v>
      </c>
      <c r="X40" s="214">
        <v>215</v>
      </c>
      <c r="Y40" s="69">
        <f>SUM(U40:X40)</f>
        <v>847</v>
      </c>
      <c r="AA40" s="8" t="s">
        <v>75</v>
      </c>
    </row>
    <row r="41" spans="2:35" x14ac:dyDescent="0.2">
      <c r="B41" s="127" t="s">
        <v>48</v>
      </c>
      <c r="C41" s="23">
        <f t="shared" ref="C41:Y41" si="37">C40/C47</f>
        <v>8.5271317829457363E-2</v>
      </c>
      <c r="D41" s="23">
        <f t="shared" si="37"/>
        <v>0.11954459203036052</v>
      </c>
      <c r="E41" s="24">
        <f t="shared" si="37"/>
        <v>9.4361785434612377E-2</v>
      </c>
      <c r="F41" s="23">
        <f t="shared" si="37"/>
        <v>8.8408644400785857E-2</v>
      </c>
      <c r="G41" s="23">
        <f t="shared" si="37"/>
        <v>9.4069529652351741E-2</v>
      </c>
      <c r="H41" s="23">
        <f t="shared" si="37"/>
        <v>7.6923076923076927E-2</v>
      </c>
      <c r="I41" s="23">
        <f t="shared" si="37"/>
        <v>0.10920770877944326</v>
      </c>
      <c r="J41" s="24">
        <f t="shared" si="37"/>
        <v>9.0780141843971637E-2</v>
      </c>
      <c r="K41" s="23">
        <f t="shared" si="37"/>
        <v>0.12564102564102564</v>
      </c>
      <c r="L41" s="23">
        <f t="shared" si="37"/>
        <v>0.13968253968253969</v>
      </c>
      <c r="M41" s="23">
        <f t="shared" si="37"/>
        <v>0.20443349753694581</v>
      </c>
      <c r="N41" s="23">
        <f t="shared" si="37"/>
        <v>0.24299065420560748</v>
      </c>
      <c r="O41" s="31">
        <f t="shared" si="37"/>
        <v>0.18791166214645486</v>
      </c>
      <c r="P41" s="23">
        <f t="shared" si="37"/>
        <v>0.18962124964147753</v>
      </c>
      <c r="Q41" s="23">
        <f t="shared" si="37"/>
        <v>0.28486047302693646</v>
      </c>
      <c r="R41" s="23">
        <f t="shared" si="37"/>
        <v>0.23018624807467356</v>
      </c>
      <c r="S41" s="23">
        <f t="shared" si="37"/>
        <v>0.23674310442201241</v>
      </c>
      <c r="T41" s="24">
        <f t="shared" si="37"/>
        <v>0.23167675481593294</v>
      </c>
      <c r="U41" s="23">
        <f t="shared" si="37"/>
        <v>0.19651621760737553</v>
      </c>
      <c r="V41" s="23">
        <f t="shared" si="37"/>
        <v>0.28533980887349403</v>
      </c>
      <c r="W41" s="23">
        <f t="shared" si="37"/>
        <v>0.19938218075810554</v>
      </c>
      <c r="X41" s="23">
        <f t="shared" si="37"/>
        <v>0.20243522871725853</v>
      </c>
      <c r="Y41" s="24">
        <f t="shared" si="37"/>
        <v>0.21553742581209012</v>
      </c>
      <c r="Z41" s="9"/>
      <c r="AA41" s="9"/>
      <c r="AB41" s="9"/>
      <c r="AC41" s="9"/>
      <c r="AD41" s="9"/>
      <c r="AE41" s="9"/>
      <c r="AF41" s="9"/>
      <c r="AG41" s="9"/>
      <c r="AH41" s="9"/>
      <c r="AI41" s="9"/>
    </row>
    <row r="42" spans="2:35" x14ac:dyDescent="0.2">
      <c r="B42" s="127"/>
      <c r="C42" s="23"/>
      <c r="D42" s="23"/>
      <c r="E42" s="24"/>
      <c r="F42" s="23"/>
      <c r="G42" s="23"/>
      <c r="H42" s="23"/>
      <c r="I42" s="23"/>
      <c r="J42" s="24"/>
      <c r="K42" s="23"/>
      <c r="L42" s="23"/>
      <c r="M42" s="23"/>
      <c r="N42" s="23"/>
      <c r="O42" s="31"/>
      <c r="P42" s="75"/>
      <c r="Q42" s="75"/>
      <c r="R42" s="9"/>
      <c r="S42" s="9"/>
      <c r="T42" s="175"/>
      <c r="U42" s="9"/>
      <c r="V42" s="9"/>
      <c r="W42" s="9"/>
      <c r="X42" s="9"/>
      <c r="Y42" s="175"/>
      <c r="Z42" s="9"/>
      <c r="AA42" s="9"/>
      <c r="AB42" s="9"/>
      <c r="AC42" s="9"/>
      <c r="AD42" s="9"/>
      <c r="AE42" s="9"/>
      <c r="AF42" s="9"/>
      <c r="AG42" s="9"/>
      <c r="AH42" s="9"/>
      <c r="AI42" s="9"/>
    </row>
    <row r="43" spans="2:35" x14ac:dyDescent="0.2">
      <c r="B43" s="136" t="s">
        <v>76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3"/>
      <c r="P43" s="134"/>
      <c r="Q43" s="134"/>
      <c r="R43" s="135"/>
      <c r="S43" s="135"/>
      <c r="T43" s="135"/>
      <c r="U43" s="135"/>
      <c r="V43" s="135"/>
      <c r="W43" s="135"/>
      <c r="X43" s="135"/>
      <c r="Y43" s="135"/>
      <c r="Z43" s="9"/>
      <c r="AA43" s="9"/>
      <c r="AB43" s="9"/>
      <c r="AC43" s="9"/>
      <c r="AD43" s="9"/>
      <c r="AE43" s="9"/>
      <c r="AF43" s="9"/>
      <c r="AG43" s="9"/>
      <c r="AH43" s="9"/>
      <c r="AI43" s="9"/>
    </row>
    <row r="44" spans="2:35" x14ac:dyDescent="0.2">
      <c r="B44" s="140" t="s">
        <v>77</v>
      </c>
      <c r="C44" s="137">
        <v>-128</v>
      </c>
      <c r="D44" s="137">
        <v>96</v>
      </c>
      <c r="E44" s="138">
        <v>115</v>
      </c>
      <c r="F44" s="137">
        <v>-108</v>
      </c>
      <c r="G44" s="137">
        <v>76</v>
      </c>
      <c r="H44" s="137">
        <v>95</v>
      </c>
      <c r="I44" s="137">
        <v>-21</v>
      </c>
      <c r="J44" s="138">
        <v>42</v>
      </c>
      <c r="K44" s="137">
        <v>-241</v>
      </c>
      <c r="L44" s="137">
        <v>176</v>
      </c>
      <c r="M44" s="137">
        <v>42</v>
      </c>
      <c r="N44" s="137">
        <v>-22</v>
      </c>
      <c r="O44" s="139">
        <v>-45</v>
      </c>
      <c r="P44" s="213">
        <v>25</v>
      </c>
      <c r="Q44" s="214">
        <v>25</v>
      </c>
      <c r="R44" s="214">
        <v>25</v>
      </c>
      <c r="S44" s="214">
        <v>25</v>
      </c>
      <c r="T44" s="69">
        <f>SUM(P44:S44)</f>
        <v>100</v>
      </c>
      <c r="U44" s="214">
        <v>25</v>
      </c>
      <c r="V44" s="214">
        <v>25</v>
      </c>
      <c r="W44" s="214">
        <v>25</v>
      </c>
      <c r="X44" s="214">
        <v>25</v>
      </c>
      <c r="Y44" s="69">
        <f>SUM(U44:X44)</f>
        <v>100</v>
      </c>
      <c r="Z44" s="9"/>
      <c r="AA44" s="8" t="s">
        <v>78</v>
      </c>
      <c r="AB44" s="9"/>
      <c r="AC44" s="9"/>
      <c r="AD44" s="9"/>
      <c r="AE44" s="9"/>
      <c r="AF44" s="9"/>
      <c r="AG44" s="9"/>
      <c r="AH44" s="9"/>
      <c r="AI44" s="9"/>
    </row>
    <row r="45" spans="2:35" x14ac:dyDescent="0.2">
      <c r="B45" s="127" t="s">
        <v>79</v>
      </c>
      <c r="C45" s="23"/>
      <c r="E45" s="22"/>
      <c r="H45" s="23">
        <f t="shared" ref="H45:O45" si="38">H44/C44-1</f>
        <v>-1.7421875</v>
      </c>
      <c r="I45" s="23">
        <f t="shared" si="38"/>
        <v>-1.21875</v>
      </c>
      <c r="J45" s="24">
        <f t="shared" si="38"/>
        <v>-0.63478260869565217</v>
      </c>
      <c r="K45" s="23">
        <f t="shared" si="38"/>
        <v>1.2314814814814814</v>
      </c>
      <c r="L45" s="23">
        <f t="shared" si="38"/>
        <v>1.3157894736842106</v>
      </c>
      <c r="M45" s="23">
        <f t="shared" si="38"/>
        <v>-0.55789473684210522</v>
      </c>
      <c r="N45" s="23">
        <f t="shared" si="38"/>
        <v>4.7619047619047672E-2</v>
      </c>
      <c r="O45" s="31">
        <f t="shared" si="38"/>
        <v>-2.0714285714285712</v>
      </c>
      <c r="P45" s="23">
        <f t="shared" ref="P45" si="39">P44/K44-1</f>
        <v>-1.103734439834025</v>
      </c>
      <c r="Q45" s="23">
        <f t="shared" ref="Q45" si="40">Q44/L44-1</f>
        <v>-0.85795454545454541</v>
      </c>
      <c r="R45" s="23">
        <f t="shared" ref="R45" si="41">R44/M44-1</f>
        <v>-0.40476190476190477</v>
      </c>
      <c r="S45" s="23">
        <f t="shared" ref="S45" si="42">S44/N44-1</f>
        <v>-2.1363636363636367</v>
      </c>
      <c r="T45" s="24">
        <f t="shared" ref="T45" si="43">T44/O44-1</f>
        <v>-3.2222222222222223</v>
      </c>
      <c r="U45" s="23">
        <f t="shared" ref="U45" si="44">U44/P44-1</f>
        <v>0</v>
      </c>
      <c r="V45" s="23">
        <f t="shared" ref="V45" si="45">V44/Q44-1</f>
        <v>0</v>
      </c>
      <c r="W45" s="23">
        <f t="shared" ref="W45" si="46">W44/R44-1</f>
        <v>0</v>
      </c>
      <c r="X45" s="23">
        <f t="shared" ref="X45" si="47">X44/S44-1</f>
        <v>0</v>
      </c>
      <c r="Y45" s="24">
        <f t="shared" ref="Y45" si="48">Y44/T44-1</f>
        <v>0</v>
      </c>
      <c r="Z45" s="9"/>
      <c r="AA45" s="9"/>
      <c r="AB45" s="9"/>
      <c r="AC45" s="9"/>
      <c r="AD45" s="9"/>
      <c r="AE45" s="9"/>
      <c r="AF45" s="9"/>
      <c r="AG45" s="9"/>
      <c r="AH45" s="9"/>
      <c r="AI45" s="9"/>
    </row>
    <row r="46" spans="2:35" x14ac:dyDescent="0.2">
      <c r="B46" s="127"/>
      <c r="E46" s="22"/>
      <c r="J46" s="22"/>
      <c r="O46" s="185"/>
      <c r="T46" s="22"/>
      <c r="Y46" s="22"/>
      <c r="Z46" s="9"/>
      <c r="AA46" s="9"/>
      <c r="AB46" s="9"/>
      <c r="AC46" s="9"/>
      <c r="AD46" s="9"/>
      <c r="AE46" s="9"/>
      <c r="AF46" s="9"/>
      <c r="AG46" s="9"/>
      <c r="AH46" s="9"/>
      <c r="AI46" s="9"/>
    </row>
    <row r="47" spans="2:35" x14ac:dyDescent="0.2">
      <c r="B47" s="76" t="s">
        <v>80</v>
      </c>
      <c r="C47" s="129">
        <f t="shared" ref="C47:S47" si="49">C11+C40+C44</f>
        <v>516</v>
      </c>
      <c r="D47" s="129">
        <f t="shared" si="49"/>
        <v>527</v>
      </c>
      <c r="E47" s="130">
        <f t="shared" si="49"/>
        <v>2554</v>
      </c>
      <c r="F47" s="129">
        <f t="shared" si="49"/>
        <v>509</v>
      </c>
      <c r="G47" s="129">
        <f t="shared" si="49"/>
        <v>489</v>
      </c>
      <c r="H47" s="129">
        <f t="shared" si="49"/>
        <v>650</v>
      </c>
      <c r="I47" s="129">
        <f t="shared" si="49"/>
        <v>467</v>
      </c>
      <c r="J47" s="130">
        <f t="shared" si="49"/>
        <v>2115</v>
      </c>
      <c r="K47" s="129">
        <f t="shared" si="49"/>
        <v>390</v>
      </c>
      <c r="L47" s="129">
        <f t="shared" si="49"/>
        <v>630</v>
      </c>
      <c r="M47" s="129">
        <f t="shared" si="49"/>
        <v>812</v>
      </c>
      <c r="N47" s="129">
        <f t="shared" si="49"/>
        <v>749</v>
      </c>
      <c r="O47" s="131">
        <f t="shared" si="49"/>
        <v>2581</v>
      </c>
      <c r="P47" s="129">
        <f t="shared" si="49"/>
        <v>896.52399359999993</v>
      </c>
      <c r="Q47" s="129">
        <f t="shared" si="49"/>
        <v>649.44075263999991</v>
      </c>
      <c r="R47" s="129">
        <f t="shared" si="49"/>
        <v>920.99333376000004</v>
      </c>
      <c r="S47" s="129">
        <f t="shared" si="49"/>
        <v>895.4854272</v>
      </c>
      <c r="T47" s="130">
        <f>SUM(P47:S47)</f>
        <v>3362.4435071999997</v>
      </c>
      <c r="U47" s="129">
        <f>U11+U40+U44</f>
        <v>1053.3481792</v>
      </c>
      <c r="V47" s="129">
        <f>V11+V40+V44</f>
        <v>735.96460595199994</v>
      </c>
      <c r="W47" s="129">
        <f>W11+W40+W44</f>
        <v>1078.3310684160001</v>
      </c>
      <c r="X47" s="129">
        <f>X11+X40+X44</f>
        <v>1062.0681062399999</v>
      </c>
      <c r="Y47" s="130">
        <f>SUM(U47:X47)</f>
        <v>3929.7119598079998</v>
      </c>
    </row>
    <row r="48" spans="2:35" x14ac:dyDescent="0.2">
      <c r="B48" s="74" t="s">
        <v>79</v>
      </c>
      <c r="C48" s="23"/>
      <c r="D48" s="23"/>
      <c r="E48" s="24"/>
      <c r="F48" s="23"/>
      <c r="G48" s="23"/>
      <c r="H48" s="23">
        <f t="shared" ref="H48:O48" si="50">H47/C47-1</f>
        <v>0.25968992248062017</v>
      </c>
      <c r="I48" s="23">
        <f t="shared" si="50"/>
        <v>-0.11385199240986721</v>
      </c>
      <c r="J48" s="24">
        <f t="shared" si="50"/>
        <v>-0.17188723570869224</v>
      </c>
      <c r="K48" s="23">
        <f t="shared" si="50"/>
        <v>-0.23379174852652262</v>
      </c>
      <c r="L48" s="23">
        <f t="shared" si="50"/>
        <v>0.28834355828220848</v>
      </c>
      <c r="M48" s="23">
        <f t="shared" si="50"/>
        <v>0.24923076923076914</v>
      </c>
      <c r="N48" s="23">
        <f t="shared" si="50"/>
        <v>0.6038543897216273</v>
      </c>
      <c r="O48" s="31">
        <f t="shared" si="50"/>
        <v>0.22033096926713958</v>
      </c>
      <c r="P48" s="23">
        <f t="shared" ref="P48" si="51">P47/K47-1</f>
        <v>1.2987794707692304</v>
      </c>
      <c r="Q48" s="23">
        <f t="shared" ref="Q48" si="52">Q47/L47-1</f>
        <v>3.0858337523809398E-2</v>
      </c>
      <c r="R48" s="23">
        <f t="shared" ref="R48" si="53">R47/M47-1</f>
        <v>0.13422824354679808</v>
      </c>
      <c r="S48" s="23">
        <f t="shared" ref="S48" si="54">S47/N47-1</f>
        <v>0.19557466915887844</v>
      </c>
      <c r="T48" s="24">
        <f t="shared" ref="T48" si="55">T47/O47-1</f>
        <v>0.30276772847733424</v>
      </c>
      <c r="U48" s="23">
        <f>U47/P47-1</f>
        <v>0.17492469439693537</v>
      </c>
      <c r="V48" s="23">
        <f>V47/Q47-1</f>
        <v>0.13322824747334905</v>
      </c>
      <c r="W48" s="23">
        <f>W47/R47-1</f>
        <v>0.17083482462751509</v>
      </c>
      <c r="X48" s="23">
        <f t="shared" ref="X48" si="56">X47/S47-1</f>
        <v>0.1860250027304966</v>
      </c>
      <c r="Y48" s="24">
        <f t="shared" ref="Y48" si="57">Y47/T47-1</f>
        <v>0.1687072069443869</v>
      </c>
    </row>
    <row r="49" spans="2:15" x14ac:dyDescent="0.2"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2:15" x14ac:dyDescent="0.2"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2:15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2:15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2:15" x14ac:dyDescent="0.2"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2:15" x14ac:dyDescent="0.2"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2:15" x14ac:dyDescent="0.2"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2:15" x14ac:dyDescent="0.2"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2:15" x14ac:dyDescent="0.2"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2:15" x14ac:dyDescent="0.2"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2:15" x14ac:dyDescent="0.2"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2:15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O60"/>
    </row>
    <row r="61" spans="2:15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2:15" x14ac:dyDescent="0.2"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  <row r="63" spans="2:15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O63"/>
    </row>
    <row r="64" spans="2:15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O64"/>
    </row>
    <row r="65" spans="2:15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2:15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7" spans="2:15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2:15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2:15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O69"/>
    </row>
    <row r="70" spans="2:15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O70"/>
    </row>
    <row r="71" spans="2:15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</row>
    <row r="72" spans="2:15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2:15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2:15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2:15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2:15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2:15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</row>
    <row r="78" spans="2:15" x14ac:dyDescent="0.2"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79" spans="2:15" x14ac:dyDescent="0.2">
      <c r="B79"/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2:15" x14ac:dyDescent="0.2">
      <c r="B80"/>
      <c r="C80"/>
      <c r="D80"/>
      <c r="E80"/>
      <c r="F80"/>
      <c r="G80"/>
      <c r="H80"/>
      <c r="I80"/>
      <c r="J80"/>
      <c r="K80"/>
      <c r="L80"/>
      <c r="M80"/>
      <c r="N80"/>
      <c r="O80"/>
    </row>
    <row r="81" spans="2:15" x14ac:dyDescent="0.2">
      <c r="B81"/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2:15" x14ac:dyDescent="0.2">
      <c r="B82"/>
      <c r="C82"/>
      <c r="D82"/>
      <c r="E82"/>
      <c r="F82"/>
      <c r="G82"/>
      <c r="H82"/>
      <c r="I82"/>
      <c r="J82"/>
      <c r="K82"/>
      <c r="L82"/>
      <c r="M82"/>
      <c r="N82"/>
      <c r="O82"/>
    </row>
    <row r="83" spans="2:15" x14ac:dyDescent="0.2">
      <c r="B83"/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2:15" x14ac:dyDescent="0.2">
      <c r="B84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43E81C-E19B-DB41-B1D4-1A24B3752923}">
          <x14:formula1>
            <xm:f>'Revenue Build Toggles'!$C$6:$C$8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D5AE6-367E-EF40-B31B-13200992DCE2}">
  <dimension ref="B1:F13"/>
  <sheetViews>
    <sheetView showGridLines="0" zoomScale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8" sqref="H8"/>
    </sheetView>
  </sheetViews>
  <sheetFormatPr baseColWidth="10" defaultColWidth="11" defaultRowHeight="16" x14ac:dyDescent="0.2"/>
  <cols>
    <col min="1" max="1" width="1.83203125" customWidth="1"/>
    <col min="2" max="2" width="40" customWidth="1"/>
    <col min="4" max="5" width="18.33203125" customWidth="1"/>
    <col min="6" max="6" width="185.33203125" customWidth="1"/>
  </cols>
  <sheetData>
    <row r="1" spans="2:6" ht="10" customHeight="1" x14ac:dyDescent="0.2"/>
    <row r="2" spans="2:6" x14ac:dyDescent="0.2">
      <c r="B2" s="1" t="s">
        <v>18</v>
      </c>
      <c r="C2" s="2"/>
      <c r="D2" s="2"/>
      <c r="E2" s="2"/>
      <c r="F2" s="2"/>
    </row>
    <row r="3" spans="2:6" x14ac:dyDescent="0.2">
      <c r="B3" s="15" t="s">
        <v>81</v>
      </c>
      <c r="C3" s="2"/>
      <c r="D3" s="2"/>
      <c r="E3" s="2"/>
      <c r="F3" s="2"/>
    </row>
    <row r="4" spans="2:6" x14ac:dyDescent="0.2">
      <c r="B4" s="73" t="s">
        <v>82</v>
      </c>
      <c r="C4" s="391" t="s">
        <v>83</v>
      </c>
      <c r="D4" s="391" t="s">
        <v>84</v>
      </c>
      <c r="E4" s="391" t="s">
        <v>85</v>
      </c>
      <c r="F4" s="391" t="s">
        <v>86</v>
      </c>
    </row>
    <row r="5" spans="2:6" x14ac:dyDescent="0.2">
      <c r="B5" s="125"/>
      <c r="C5" s="264"/>
      <c r="D5" s="264"/>
      <c r="E5" s="264"/>
      <c r="F5" s="264"/>
    </row>
    <row r="6" spans="2:6" x14ac:dyDescent="0.2">
      <c r="B6" s="8" t="s">
        <v>87</v>
      </c>
      <c r="C6" s="82" t="s">
        <v>88</v>
      </c>
      <c r="D6" s="180">
        <v>40</v>
      </c>
      <c r="E6" s="180">
        <v>42</v>
      </c>
      <c r="F6" s="8" t="s">
        <v>89</v>
      </c>
    </row>
    <row r="7" spans="2:6" x14ac:dyDescent="0.2">
      <c r="B7" s="8" t="s">
        <v>87</v>
      </c>
      <c r="C7" s="82" t="s">
        <v>44</v>
      </c>
      <c r="D7" s="180">
        <v>50</v>
      </c>
      <c r="E7" s="180">
        <v>60</v>
      </c>
      <c r="F7" s="8" t="s">
        <v>90</v>
      </c>
    </row>
    <row r="8" spans="2:6" x14ac:dyDescent="0.2">
      <c r="B8" s="8" t="s">
        <v>87</v>
      </c>
      <c r="C8" s="82" t="s">
        <v>91</v>
      </c>
      <c r="D8" s="180">
        <v>60</v>
      </c>
      <c r="E8" s="180">
        <v>80</v>
      </c>
      <c r="F8" s="8" t="s">
        <v>92</v>
      </c>
    </row>
    <row r="9" spans="2:6" x14ac:dyDescent="0.2">
      <c r="B9" s="8"/>
      <c r="C9" s="82"/>
      <c r="D9" s="82"/>
      <c r="E9" s="82"/>
      <c r="F9" s="8"/>
    </row>
    <row r="10" spans="2:6" x14ac:dyDescent="0.2">
      <c r="B10" s="8" t="s">
        <v>93</v>
      </c>
      <c r="C10" s="82" t="s">
        <v>88</v>
      </c>
      <c r="D10" s="152">
        <v>0</v>
      </c>
      <c r="E10" s="152">
        <v>0.1</v>
      </c>
      <c r="F10" s="8" t="s">
        <v>94</v>
      </c>
    </row>
    <row r="11" spans="2:6" x14ac:dyDescent="0.2">
      <c r="B11" s="8" t="s">
        <v>93</v>
      </c>
      <c r="C11" s="82" t="s">
        <v>44</v>
      </c>
      <c r="D11" s="152">
        <v>0.2</v>
      </c>
      <c r="E11" s="152">
        <v>0.4</v>
      </c>
      <c r="F11" s="8" t="s">
        <v>95</v>
      </c>
    </row>
    <row r="12" spans="2:6" x14ac:dyDescent="0.2">
      <c r="B12" s="8" t="s">
        <v>93</v>
      </c>
      <c r="C12" s="82" t="s">
        <v>91</v>
      </c>
      <c r="D12" s="152">
        <v>0.5</v>
      </c>
      <c r="E12" s="152">
        <v>0.8</v>
      </c>
      <c r="F12" s="8" t="s">
        <v>96</v>
      </c>
    </row>
    <row r="13" spans="2:6" x14ac:dyDescent="0.2">
      <c r="B13" s="8"/>
      <c r="C13" s="82"/>
      <c r="D13" s="82"/>
      <c r="E13" s="82"/>
      <c r="F1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5AA6D-253C-AA4D-BB42-525BC2FF630A}">
  <dimension ref="B1:AI58"/>
  <sheetViews>
    <sheetView showGridLines="0" zoomScale="60" zoomScaleNormal="75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AA52" sqref="AA52"/>
    </sheetView>
  </sheetViews>
  <sheetFormatPr baseColWidth="10" defaultColWidth="10.83203125" defaultRowHeight="16" outlineLevelCol="1" x14ac:dyDescent="0.2"/>
  <cols>
    <col min="1" max="1" width="1.83203125" style="8" customWidth="1"/>
    <col min="2" max="2" width="41.5" style="8" bestFit="1" customWidth="1"/>
    <col min="3" max="4" width="10.83203125" style="8" hidden="1" customWidth="1" outlineLevel="1"/>
    <col min="5" max="5" width="10.83203125" style="8" customWidth="1" collapsed="1"/>
    <col min="6" max="9" width="10.83203125" style="8" hidden="1" customWidth="1" outlineLevel="1"/>
    <col min="10" max="10" width="10.83203125" style="8" collapsed="1"/>
    <col min="11" max="14" width="10.83203125" style="8" hidden="1" customWidth="1" outlineLevel="1"/>
    <col min="15" max="15" width="10.83203125" style="8" collapsed="1"/>
    <col min="16" max="19" width="10.83203125" style="8" hidden="1" customWidth="1" outlineLevel="1"/>
    <col min="20" max="20" width="10.83203125" style="8" collapsed="1"/>
    <col min="21" max="24" width="10.83203125" style="8" hidden="1" customWidth="1" outlineLevel="1"/>
    <col min="25" max="25" width="10.83203125" style="8" collapsed="1"/>
    <col min="26" max="29" width="10.83203125" style="8" customWidth="1"/>
    <col min="30" max="30" width="10.83203125" style="8"/>
    <col min="31" max="34" width="10.83203125" style="8" customWidth="1"/>
    <col min="35" max="16384" width="10.83203125" style="8"/>
  </cols>
  <sheetData>
    <row r="1" spans="2:35" ht="10" customHeight="1" x14ac:dyDescent="0.2"/>
    <row r="2" spans="2:35" x14ac:dyDescent="0.2">
      <c r="B2" s="1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2:35" x14ac:dyDescent="0.2">
      <c r="B3" s="2" t="s">
        <v>97</v>
      </c>
      <c r="C3" s="16">
        <v>45170</v>
      </c>
      <c r="D3" s="16">
        <v>45261</v>
      </c>
      <c r="E3" s="17">
        <v>45261</v>
      </c>
      <c r="F3" s="16">
        <v>45352</v>
      </c>
      <c r="G3" s="16">
        <v>45444</v>
      </c>
      <c r="H3" s="16">
        <v>45536</v>
      </c>
      <c r="I3" s="16">
        <v>45627</v>
      </c>
      <c r="J3" s="17">
        <v>45627</v>
      </c>
      <c r="K3" s="16">
        <v>45717</v>
      </c>
      <c r="L3" s="16">
        <v>45809</v>
      </c>
      <c r="M3" s="16">
        <v>45901</v>
      </c>
      <c r="N3" s="16">
        <v>45992</v>
      </c>
      <c r="O3" s="17">
        <v>45992</v>
      </c>
      <c r="P3" s="18">
        <v>46082</v>
      </c>
      <c r="Q3" s="18">
        <v>46174</v>
      </c>
      <c r="R3" s="18">
        <v>46266</v>
      </c>
      <c r="S3" s="18">
        <v>46357</v>
      </c>
      <c r="T3" s="19">
        <v>46357</v>
      </c>
      <c r="U3" s="18">
        <v>46447</v>
      </c>
      <c r="V3" s="18">
        <v>46539</v>
      </c>
      <c r="W3" s="18">
        <v>46631</v>
      </c>
      <c r="X3" s="18">
        <v>46722</v>
      </c>
      <c r="Y3" s="19">
        <v>46722</v>
      </c>
      <c r="Z3" s="79"/>
      <c r="AA3" s="79"/>
      <c r="AB3" s="79"/>
      <c r="AC3" s="79"/>
      <c r="AD3" s="80"/>
      <c r="AE3" s="79"/>
      <c r="AF3" s="79"/>
      <c r="AG3" s="79"/>
      <c r="AH3" s="79"/>
      <c r="AI3" s="80"/>
    </row>
    <row r="4" spans="2:35" x14ac:dyDescent="0.2">
      <c r="B4" s="2"/>
      <c r="C4" s="12" t="s">
        <v>20</v>
      </c>
      <c r="D4" s="12" t="s">
        <v>21</v>
      </c>
      <c r="E4" s="13" t="s">
        <v>22</v>
      </c>
      <c r="F4" s="12" t="s">
        <v>23</v>
      </c>
      <c r="G4" s="12" t="s">
        <v>24</v>
      </c>
      <c r="H4" s="12" t="s">
        <v>25</v>
      </c>
      <c r="I4" s="12" t="s">
        <v>26</v>
      </c>
      <c r="J4" s="13" t="s">
        <v>27</v>
      </c>
      <c r="K4" s="12" t="s">
        <v>28</v>
      </c>
      <c r="L4" s="12" t="s">
        <v>29</v>
      </c>
      <c r="M4" s="12" t="s">
        <v>30</v>
      </c>
      <c r="N4" s="12" t="s">
        <v>31</v>
      </c>
      <c r="O4" s="13" t="s">
        <v>32</v>
      </c>
      <c r="P4" s="20" t="s">
        <v>33</v>
      </c>
      <c r="Q4" s="20" t="s">
        <v>34</v>
      </c>
      <c r="R4" s="20" t="s">
        <v>35</v>
      </c>
      <c r="S4" s="20" t="s">
        <v>36</v>
      </c>
      <c r="T4" s="14" t="s">
        <v>37</v>
      </c>
      <c r="U4" s="20" t="s">
        <v>38</v>
      </c>
      <c r="V4" s="20" t="s">
        <v>39</v>
      </c>
      <c r="W4" s="20" t="s">
        <v>40</v>
      </c>
      <c r="X4" s="20" t="s">
        <v>41</v>
      </c>
      <c r="Y4" s="14" t="s">
        <v>42</v>
      </c>
      <c r="Z4" s="81"/>
      <c r="AA4" s="81"/>
      <c r="AB4" s="82"/>
      <c r="AC4" s="82"/>
      <c r="AD4" s="83"/>
      <c r="AE4" s="81"/>
      <c r="AF4" s="81"/>
      <c r="AG4" s="82"/>
      <c r="AH4" s="82"/>
      <c r="AI4" s="83"/>
    </row>
    <row r="5" spans="2:35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2:35" x14ac:dyDescent="0.2">
      <c r="E6" s="22"/>
      <c r="J6" s="22"/>
      <c r="O6" s="30"/>
      <c r="T6" s="22"/>
      <c r="Y6" s="22"/>
    </row>
    <row r="7" spans="2:35" x14ac:dyDescent="0.2">
      <c r="B7" s="4" t="s">
        <v>80</v>
      </c>
      <c r="C7" s="59">
        <f>'Revenue Build'!C47</f>
        <v>516</v>
      </c>
      <c r="D7" s="59">
        <f>'Revenue Build'!D47</f>
        <v>527</v>
      </c>
      <c r="E7" s="60">
        <f>'Revenue Build'!E47</f>
        <v>2554</v>
      </c>
      <c r="F7" s="59">
        <f>'Revenue Build'!F47</f>
        <v>509</v>
      </c>
      <c r="G7" s="59">
        <f>'Revenue Build'!G47</f>
        <v>489</v>
      </c>
      <c r="H7" s="59">
        <f>'Revenue Build'!H47</f>
        <v>650</v>
      </c>
      <c r="I7" s="59">
        <f>'Revenue Build'!I47</f>
        <v>467</v>
      </c>
      <c r="J7" s="60">
        <f>'Revenue Build'!J47</f>
        <v>2115</v>
      </c>
      <c r="K7" s="59">
        <f>'Revenue Build'!K47</f>
        <v>390</v>
      </c>
      <c r="L7" s="59">
        <f>'Revenue Build'!L47</f>
        <v>630</v>
      </c>
      <c r="M7" s="59">
        <f>'Revenue Build'!M47</f>
        <v>812</v>
      </c>
      <c r="N7" s="59">
        <f>'Revenue Build'!N47</f>
        <v>749</v>
      </c>
      <c r="O7" s="61">
        <f>'Revenue Build'!O47</f>
        <v>2581</v>
      </c>
      <c r="P7" s="59">
        <f>'Revenue Build'!P47</f>
        <v>896.52399359999993</v>
      </c>
      <c r="Q7" s="59">
        <f>'Revenue Build'!Q47</f>
        <v>649.44075263999991</v>
      </c>
      <c r="R7" s="59">
        <f>'Revenue Build'!R47</f>
        <v>920.99333376000004</v>
      </c>
      <c r="S7" s="59">
        <f>'Revenue Build'!S47</f>
        <v>895.4854272</v>
      </c>
      <c r="T7" s="60">
        <f>'Revenue Build'!T47</f>
        <v>3362.4435071999997</v>
      </c>
      <c r="U7" s="59">
        <f>'Revenue Build'!U47</f>
        <v>1053.3481792</v>
      </c>
      <c r="V7" s="59">
        <f>'Revenue Build'!V47</f>
        <v>735.96460595199994</v>
      </c>
      <c r="W7" s="59">
        <f>'Revenue Build'!W47</f>
        <v>1078.3310684160001</v>
      </c>
      <c r="X7" s="59">
        <f>'Revenue Build'!X47</f>
        <v>1062.0681062399999</v>
      </c>
      <c r="Y7" s="60">
        <f>'Revenue Build'!Y47</f>
        <v>3929.7119598079998</v>
      </c>
    </row>
    <row r="8" spans="2:35" x14ac:dyDescent="0.2">
      <c r="B8" s="5" t="s">
        <v>98</v>
      </c>
      <c r="C8" s="23"/>
      <c r="D8" s="23"/>
      <c r="E8" s="24"/>
      <c r="F8" s="23"/>
      <c r="G8" s="23"/>
      <c r="H8" s="23">
        <f>H7/C7-1</f>
        <v>0.25968992248062017</v>
      </c>
      <c r="I8" s="23">
        <f>I7/D7-1</f>
        <v>-0.11385199240986721</v>
      </c>
      <c r="J8" s="24">
        <f>J7/E7-1</f>
        <v>-0.17188723570869224</v>
      </c>
      <c r="K8" s="23">
        <f>K7/F7-1</f>
        <v>-0.23379174852652262</v>
      </c>
      <c r="L8" s="23">
        <f t="shared" ref="L8:N8" si="0">L7/G7-1</f>
        <v>0.28834355828220848</v>
      </c>
      <c r="M8" s="23">
        <f t="shared" si="0"/>
        <v>0.24923076923076914</v>
      </c>
      <c r="N8" s="23">
        <f t="shared" si="0"/>
        <v>0.6038543897216273</v>
      </c>
      <c r="O8" s="31">
        <f>O7/J7-1</f>
        <v>0.22033096926713958</v>
      </c>
      <c r="P8" s="23">
        <f>P7/K7-1</f>
        <v>1.2987794707692304</v>
      </c>
      <c r="Q8" s="23">
        <f t="shared" ref="Q8" si="1">Q7/L7-1</f>
        <v>3.0858337523809398E-2</v>
      </c>
      <c r="R8" s="23">
        <f t="shared" ref="R8" si="2">R7/M7-1</f>
        <v>0.13422824354679808</v>
      </c>
      <c r="S8" s="23">
        <f t="shared" ref="S8" si="3">S7/N7-1</f>
        <v>0.19557466915887844</v>
      </c>
      <c r="T8" s="24">
        <f>T7/O7-1</f>
        <v>0.30276772847733424</v>
      </c>
      <c r="U8" s="23">
        <f>U7/P7-1</f>
        <v>0.17492469439693537</v>
      </c>
      <c r="V8" s="23">
        <f t="shared" ref="V8" si="4">V7/Q7-1</f>
        <v>0.13322824747334905</v>
      </c>
      <c r="W8" s="23">
        <f t="shared" ref="W8" si="5">W7/R7-1</f>
        <v>0.17083482462751509</v>
      </c>
      <c r="X8" s="23">
        <f t="shared" ref="X8" si="6">X7/S7-1</f>
        <v>0.1860250027304966</v>
      </c>
      <c r="Y8" s="24">
        <f>Y7/T7-1</f>
        <v>0.1687072069443869</v>
      </c>
    </row>
    <row r="9" spans="2:35" x14ac:dyDescent="0.2">
      <c r="B9" s="5"/>
      <c r="E9" s="22"/>
      <c r="J9" s="22"/>
      <c r="O9" s="30"/>
      <c r="T9" s="22"/>
      <c r="Y9" s="22"/>
    </row>
    <row r="10" spans="2:35" x14ac:dyDescent="0.2">
      <c r="B10" s="6" t="s">
        <v>99</v>
      </c>
      <c r="C10" s="36">
        <v>256</v>
      </c>
      <c r="D10" s="36">
        <v>151</v>
      </c>
      <c r="E10" s="37">
        <v>867</v>
      </c>
      <c r="F10" s="36">
        <v>212</v>
      </c>
      <c r="G10" s="36">
        <v>176</v>
      </c>
      <c r="H10" s="36">
        <v>245</v>
      </c>
      <c r="I10" s="36">
        <v>164</v>
      </c>
      <c r="J10" s="37">
        <v>797</v>
      </c>
      <c r="K10" s="36">
        <v>235</v>
      </c>
      <c r="L10" s="36">
        <v>252</v>
      </c>
      <c r="M10" s="36">
        <v>292</v>
      </c>
      <c r="N10" s="36">
        <v>287</v>
      </c>
      <c r="O10" s="38">
        <v>1066</v>
      </c>
      <c r="P10" s="62">
        <f>P7-P11</f>
        <v>313.78339775999996</v>
      </c>
      <c r="Q10" s="62">
        <f t="shared" ref="Q10:S10" si="7">Q7-Q11</f>
        <v>227.30426342399994</v>
      </c>
      <c r="R10" s="62">
        <f t="shared" si="7"/>
        <v>322.34766681600001</v>
      </c>
      <c r="S10" s="62">
        <f t="shared" si="7"/>
        <v>313.41989951999994</v>
      </c>
      <c r="T10" s="63">
        <f>SUM(P10:S10)</f>
        <v>1176.85522752</v>
      </c>
      <c r="U10" s="62">
        <f>U7-U11</f>
        <v>347.60489913599997</v>
      </c>
      <c r="V10" s="62">
        <f t="shared" ref="V10:X10" si="8">V7-V11</f>
        <v>242.86831996415998</v>
      </c>
      <c r="W10" s="62">
        <f t="shared" si="8"/>
        <v>355.84925257728003</v>
      </c>
      <c r="X10" s="62">
        <f t="shared" si="8"/>
        <v>350.48247505919994</v>
      </c>
      <c r="Y10" s="63">
        <f>SUM(U10:X10)</f>
        <v>1296.80494673664</v>
      </c>
    </row>
    <row r="11" spans="2:35" s="62" customFormat="1" x14ac:dyDescent="0.2">
      <c r="B11" s="87" t="s">
        <v>100</v>
      </c>
      <c r="C11" s="51">
        <f t="shared" ref="C11:O11" si="9">C7-C10</f>
        <v>260</v>
      </c>
      <c r="D11" s="51">
        <f t="shared" si="9"/>
        <v>376</v>
      </c>
      <c r="E11" s="56">
        <f t="shared" si="9"/>
        <v>1687</v>
      </c>
      <c r="F11" s="51">
        <f t="shared" si="9"/>
        <v>297</v>
      </c>
      <c r="G11" s="51">
        <f t="shared" si="9"/>
        <v>313</v>
      </c>
      <c r="H11" s="51">
        <f t="shared" si="9"/>
        <v>405</v>
      </c>
      <c r="I11" s="51">
        <f t="shared" si="9"/>
        <v>303</v>
      </c>
      <c r="J11" s="56">
        <f t="shared" si="9"/>
        <v>1318</v>
      </c>
      <c r="K11" s="51">
        <f t="shared" si="9"/>
        <v>155</v>
      </c>
      <c r="L11" s="51">
        <f t="shared" si="9"/>
        <v>378</v>
      </c>
      <c r="M11" s="51">
        <f t="shared" si="9"/>
        <v>520</v>
      </c>
      <c r="N11" s="51">
        <f t="shared" si="9"/>
        <v>462</v>
      </c>
      <c r="O11" s="58">
        <f t="shared" si="9"/>
        <v>1515</v>
      </c>
      <c r="P11" s="51">
        <f>P7*P12</f>
        <v>582.74059583999997</v>
      </c>
      <c r="Q11" s="51">
        <f t="shared" ref="Q11:U11" si="10">Q7*Q12</f>
        <v>422.13648921599997</v>
      </c>
      <c r="R11" s="51">
        <f t="shared" si="10"/>
        <v>598.64566694400003</v>
      </c>
      <c r="S11" s="51">
        <f t="shared" si="10"/>
        <v>582.06552768000006</v>
      </c>
      <c r="T11" s="56">
        <f>SUM(P11:S11)</f>
        <v>2185.5882796799997</v>
      </c>
      <c r="U11" s="51">
        <f t="shared" si="10"/>
        <v>705.74328006400003</v>
      </c>
      <c r="V11" s="51">
        <f t="shared" ref="V11" si="11">V7*V12</f>
        <v>493.09628598783996</v>
      </c>
      <c r="W11" s="51">
        <f t="shared" ref="W11" si="12">W7*W12</f>
        <v>722.48181583872008</v>
      </c>
      <c r="X11" s="51">
        <f t="shared" ref="X11" si="13">X7*X12</f>
        <v>711.58563118079996</v>
      </c>
      <c r="Y11" s="56">
        <f>SUM(U11:X11)</f>
        <v>2632.9070130713599</v>
      </c>
    </row>
    <row r="12" spans="2:35" x14ac:dyDescent="0.2">
      <c r="B12" s="7" t="s">
        <v>101</v>
      </c>
      <c r="C12" s="23">
        <f t="shared" ref="C12:O12" si="14">C11/C7</f>
        <v>0.50387596899224807</v>
      </c>
      <c r="D12" s="23">
        <f t="shared" si="14"/>
        <v>0.71347248576850097</v>
      </c>
      <c r="E12" s="24">
        <f t="shared" si="14"/>
        <v>0.66053249804228664</v>
      </c>
      <c r="F12" s="23">
        <f t="shared" si="14"/>
        <v>0.58349705304518662</v>
      </c>
      <c r="G12" s="23">
        <f t="shared" si="14"/>
        <v>0.64008179959100209</v>
      </c>
      <c r="H12" s="23">
        <f t="shared" si="14"/>
        <v>0.62307692307692308</v>
      </c>
      <c r="I12" s="23">
        <f t="shared" si="14"/>
        <v>0.64882226980728053</v>
      </c>
      <c r="J12" s="24">
        <f t="shared" si="14"/>
        <v>0.6231678486997636</v>
      </c>
      <c r="K12" s="23">
        <f t="shared" si="14"/>
        <v>0.39743589743589741</v>
      </c>
      <c r="L12" s="23">
        <f t="shared" si="14"/>
        <v>0.6</v>
      </c>
      <c r="M12" s="23">
        <f t="shared" si="14"/>
        <v>0.64039408866995073</v>
      </c>
      <c r="N12" s="23">
        <f t="shared" si="14"/>
        <v>0.61682242990654201</v>
      </c>
      <c r="O12" s="238">
        <f t="shared" si="14"/>
        <v>0.58698179000387452</v>
      </c>
      <c r="P12" s="237">
        <v>0.65</v>
      </c>
      <c r="Q12" s="230">
        <v>0.65</v>
      </c>
      <c r="R12" s="230">
        <v>0.65</v>
      </c>
      <c r="S12" s="230">
        <v>0.65</v>
      </c>
      <c r="T12" s="236">
        <f>T11/T7</f>
        <v>0.65</v>
      </c>
      <c r="U12" s="230">
        <v>0.67</v>
      </c>
      <c r="V12" s="230">
        <v>0.67</v>
      </c>
      <c r="W12" s="230">
        <v>0.67</v>
      </c>
      <c r="X12" s="230">
        <v>0.67</v>
      </c>
      <c r="Y12" s="236">
        <f>Y11/Y7</f>
        <v>0.67</v>
      </c>
      <c r="AA12" s="8" t="s">
        <v>102</v>
      </c>
    </row>
    <row r="13" spans="2:35" x14ac:dyDescent="0.2">
      <c r="B13" s="7"/>
      <c r="E13" s="22"/>
      <c r="J13" s="22"/>
      <c r="O13" s="30"/>
      <c r="T13" s="22"/>
      <c r="Y13" s="22"/>
    </row>
    <row r="14" spans="2:35" x14ac:dyDescent="0.2">
      <c r="B14" s="8" t="s">
        <v>103</v>
      </c>
      <c r="C14" s="36">
        <v>140</v>
      </c>
      <c r="D14" s="36">
        <v>149</v>
      </c>
      <c r="E14" s="37">
        <v>643</v>
      </c>
      <c r="F14" s="36">
        <v>154</v>
      </c>
      <c r="G14" s="36">
        <v>164</v>
      </c>
      <c r="H14" s="36">
        <v>127</v>
      </c>
      <c r="I14" s="36">
        <v>147</v>
      </c>
      <c r="J14" s="37">
        <v>592</v>
      </c>
      <c r="K14" s="36">
        <v>146</v>
      </c>
      <c r="L14" s="36">
        <v>192</v>
      </c>
      <c r="M14" s="36">
        <v>131</v>
      </c>
      <c r="N14" s="36">
        <v>151</v>
      </c>
      <c r="O14" s="38">
        <v>620</v>
      </c>
      <c r="P14" s="50">
        <f>P7*P15</f>
        <v>179.30479872000001</v>
      </c>
      <c r="Q14" s="50">
        <f t="shared" ref="Q14:S14" si="15">Q7*Q15</f>
        <v>129.88815052799998</v>
      </c>
      <c r="R14" s="50">
        <f t="shared" si="15"/>
        <v>184.19866675200001</v>
      </c>
      <c r="S14" s="50">
        <f t="shared" si="15"/>
        <v>179.09708544</v>
      </c>
      <c r="T14" s="55">
        <f>SUM(P14:S14)</f>
        <v>672.48870144</v>
      </c>
      <c r="U14" s="50">
        <f>U7*U15</f>
        <v>158.00222687999999</v>
      </c>
      <c r="V14" s="50">
        <f t="shared" ref="V14" si="16">V7*V15</f>
        <v>110.39469089279999</v>
      </c>
      <c r="W14" s="50">
        <f t="shared" ref="W14" si="17">W7*W15</f>
        <v>161.7496602624</v>
      </c>
      <c r="X14" s="50">
        <f t="shared" ref="X14" si="18">X7*X15</f>
        <v>159.31021593599999</v>
      </c>
      <c r="Y14" s="55">
        <f>SUM(U14:X14)</f>
        <v>589.45679397119989</v>
      </c>
    </row>
    <row r="15" spans="2:35" x14ac:dyDescent="0.2">
      <c r="B15" s="27" t="s">
        <v>48</v>
      </c>
      <c r="C15" s="28">
        <f>C14/C$7</f>
        <v>0.27131782945736432</v>
      </c>
      <c r="D15" s="28">
        <f>D14/D$7</f>
        <v>0.2827324478178368</v>
      </c>
      <c r="E15" s="29">
        <f t="shared" ref="E15:O15" si="19">E14/E$7</f>
        <v>0.25176194205168362</v>
      </c>
      <c r="F15" s="28">
        <f t="shared" si="19"/>
        <v>0.30255402750491162</v>
      </c>
      <c r="G15" s="28">
        <f t="shared" si="19"/>
        <v>0.33537832310838445</v>
      </c>
      <c r="H15" s="28">
        <f t="shared" si="19"/>
        <v>0.19538461538461538</v>
      </c>
      <c r="I15" s="28">
        <f t="shared" si="19"/>
        <v>0.31477516059957172</v>
      </c>
      <c r="J15" s="29">
        <f t="shared" si="19"/>
        <v>0.27990543735224588</v>
      </c>
      <c r="K15" s="28">
        <f t="shared" si="19"/>
        <v>0.37435897435897436</v>
      </c>
      <c r="L15" s="28">
        <f t="shared" si="19"/>
        <v>0.30476190476190479</v>
      </c>
      <c r="M15" s="28">
        <f t="shared" si="19"/>
        <v>0.16133004926108374</v>
      </c>
      <c r="N15" s="28">
        <f t="shared" si="19"/>
        <v>0.20160213618157544</v>
      </c>
      <c r="O15" s="32">
        <f t="shared" si="19"/>
        <v>0.2402169701666021</v>
      </c>
      <c r="P15" s="232">
        <v>0.2</v>
      </c>
      <c r="Q15" s="231">
        <v>0.2</v>
      </c>
      <c r="R15" s="231">
        <v>0.2</v>
      </c>
      <c r="S15" s="232">
        <v>0.2</v>
      </c>
      <c r="T15" s="229">
        <f>T14/T7</f>
        <v>0.2</v>
      </c>
      <c r="U15" s="231">
        <v>0.15</v>
      </c>
      <c r="V15" s="231">
        <v>0.15</v>
      </c>
      <c r="W15" s="231">
        <v>0.15</v>
      </c>
      <c r="X15" s="232">
        <v>0.15</v>
      </c>
      <c r="Y15" s="229">
        <f>Y14/Y7</f>
        <v>0.14999999999999997</v>
      </c>
      <c r="AA15" s="8" t="s">
        <v>104</v>
      </c>
    </row>
    <row r="16" spans="2:35" x14ac:dyDescent="0.2">
      <c r="E16" s="22"/>
      <c r="J16" s="22"/>
      <c r="O16" s="30"/>
      <c r="T16" s="22"/>
      <c r="Y16" s="22"/>
    </row>
    <row r="17" spans="2:27" x14ac:dyDescent="0.2">
      <c r="B17" s="8" t="s">
        <v>105</v>
      </c>
      <c r="C17" s="36">
        <v>37</v>
      </c>
      <c r="D17" s="36">
        <v>38</v>
      </c>
      <c r="E17" s="37">
        <v>144</v>
      </c>
      <c r="F17" s="36">
        <v>43</v>
      </c>
      <c r="G17" s="36">
        <v>40</v>
      </c>
      <c r="H17" s="36">
        <v>38</v>
      </c>
      <c r="I17" s="36">
        <v>42</v>
      </c>
      <c r="J17" s="37">
        <v>163</v>
      </c>
      <c r="K17" s="36">
        <v>34</v>
      </c>
      <c r="L17" s="36">
        <v>41</v>
      </c>
      <c r="M17" s="36">
        <v>38</v>
      </c>
      <c r="N17" s="36">
        <v>511</v>
      </c>
      <c r="O17" s="38">
        <v>624</v>
      </c>
      <c r="P17" s="50">
        <f>P7*P18</f>
        <v>42.297542262153861</v>
      </c>
      <c r="Q17" s="50">
        <f t="shared" ref="Q17:S17" si="20">Q7*Q18</f>
        <v>42.265191838476198</v>
      </c>
      <c r="R17" s="50">
        <f t="shared" si="20"/>
        <v>43.100673254778286</v>
      </c>
      <c r="S17" s="50">
        <f t="shared" si="20"/>
        <v>55.737691076186906</v>
      </c>
      <c r="T17" s="55">
        <f>SUM(P17:S17)</f>
        <v>183.40109843159524</v>
      </c>
      <c r="U17" s="50">
        <f>U7*U18</f>
        <v>28.629463332102588</v>
      </c>
      <c r="V17" s="50">
        <f t="shared" ref="V17" si="21">V7*V18</f>
        <v>46.424180064337278</v>
      </c>
      <c r="W17" s="50">
        <f t="shared" ref="W17" si="22">W7*W18</f>
        <v>48.307107074754164</v>
      </c>
      <c r="X17" s="50">
        <f t="shared" ref="X17" si="23">X7*X18</f>
        <v>34.244252023626153</v>
      </c>
      <c r="Y17" s="55">
        <f>SUM(U17:X17)</f>
        <v>157.60500249482018</v>
      </c>
    </row>
    <row r="18" spans="2:27" x14ac:dyDescent="0.2">
      <c r="B18" s="27" t="s">
        <v>48</v>
      </c>
      <c r="C18" s="28">
        <f t="shared" ref="C18:O18" si="24">C17/C$7</f>
        <v>7.170542635658915E-2</v>
      </c>
      <c r="D18" s="28">
        <f t="shared" si="24"/>
        <v>7.2106261859582549E-2</v>
      </c>
      <c r="E18" s="29">
        <f t="shared" si="24"/>
        <v>5.6382145653876274E-2</v>
      </c>
      <c r="F18" s="28">
        <f t="shared" si="24"/>
        <v>8.4479371316306479E-2</v>
      </c>
      <c r="G18" s="28">
        <f t="shared" si="24"/>
        <v>8.1799591002044994E-2</v>
      </c>
      <c r="H18" s="28">
        <f t="shared" si="24"/>
        <v>5.8461538461538461E-2</v>
      </c>
      <c r="I18" s="28">
        <f t="shared" si="24"/>
        <v>8.9935760171306209E-2</v>
      </c>
      <c r="J18" s="29">
        <f t="shared" si="24"/>
        <v>7.706855791962175E-2</v>
      </c>
      <c r="K18" s="28">
        <f t="shared" si="24"/>
        <v>8.7179487179487175E-2</v>
      </c>
      <c r="L18" s="28">
        <f t="shared" si="24"/>
        <v>6.5079365079365084E-2</v>
      </c>
      <c r="M18" s="28">
        <f t="shared" si="24"/>
        <v>4.6798029556650245E-2</v>
      </c>
      <c r="N18" s="28">
        <f t="shared" si="24"/>
        <v>0.68224299065420557</v>
      </c>
      <c r="O18" s="32">
        <f t="shared" si="24"/>
        <v>0.24176675707090275</v>
      </c>
      <c r="P18" s="232">
        <v>4.7179487179487202E-2</v>
      </c>
      <c r="Q18" s="232">
        <v>6.5079365079365098E-2</v>
      </c>
      <c r="R18" s="232">
        <v>4.6798029556650203E-2</v>
      </c>
      <c r="S18" s="232">
        <v>6.2242990654205597E-2</v>
      </c>
      <c r="T18" s="229">
        <f>T17/T7</f>
        <v>5.4543993984992913E-2</v>
      </c>
      <c r="U18" s="231">
        <v>2.7179487179487202E-2</v>
      </c>
      <c r="V18" s="232">
        <v>6.3079365079365096E-2</v>
      </c>
      <c r="W18" s="232">
        <v>4.4798029556650201E-2</v>
      </c>
      <c r="X18" s="232">
        <v>3.2242990654205599E-2</v>
      </c>
      <c r="Y18" s="229">
        <f>Y17/Y7</f>
        <v>4.0105993545267511E-2</v>
      </c>
      <c r="AA18" s="8" t="s">
        <v>106</v>
      </c>
    </row>
    <row r="19" spans="2:27" x14ac:dyDescent="0.2">
      <c r="E19" s="22"/>
      <c r="J19" s="22"/>
      <c r="O19" s="30"/>
      <c r="T19" s="22"/>
      <c r="Y19" s="22"/>
    </row>
    <row r="20" spans="2:27" x14ac:dyDescent="0.2">
      <c r="B20" s="8" t="s">
        <v>107</v>
      </c>
      <c r="C20" s="33">
        <v>66</v>
      </c>
      <c r="D20" s="33">
        <v>71</v>
      </c>
      <c r="E20" s="39">
        <v>365</v>
      </c>
      <c r="F20" s="33">
        <v>75</v>
      </c>
      <c r="G20" s="33">
        <v>75</v>
      </c>
      <c r="H20" s="33">
        <v>75</v>
      </c>
      <c r="I20" s="33">
        <v>73</v>
      </c>
      <c r="J20" s="39">
        <v>298</v>
      </c>
      <c r="K20" s="33">
        <v>74</v>
      </c>
      <c r="L20" s="33">
        <v>70</v>
      </c>
      <c r="M20" s="33">
        <v>61</v>
      </c>
      <c r="N20" s="33">
        <v>74</v>
      </c>
      <c r="O20" s="40">
        <v>279</v>
      </c>
      <c r="P20" s="50">
        <f>P7*P21</f>
        <v>91.909781934206009</v>
      </c>
      <c r="Q20" s="50">
        <f t="shared" ref="Q20:S20" si="25">Q7*Q21</f>
        <v>81.717532523597455</v>
      </c>
      <c r="R20" s="50">
        <f t="shared" si="25"/>
        <v>82.341050725160613</v>
      </c>
      <c r="S20" s="50">
        <f t="shared" si="25"/>
        <v>93.334796063704815</v>
      </c>
      <c r="T20" s="55">
        <f>SUM(P20:S20)</f>
        <v>349.30316124666888</v>
      </c>
      <c r="U20" s="235">
        <f>U7*U21</f>
        <v>107.98707245113597</v>
      </c>
      <c r="V20" s="235">
        <f t="shared" ref="V20" si="26">V7*V21</f>
        <v>92.604616169562746</v>
      </c>
      <c r="W20" s="235">
        <f t="shared" ref="W20" si="27">W7*W21</f>
        <v>96.407769685438751</v>
      </c>
      <c r="X20" s="235">
        <f t="shared" ref="X20" si="28">X7*X21</f>
        <v>110.69740175630585</v>
      </c>
      <c r="Y20" s="55">
        <f>SUM(U20:X20)</f>
        <v>407.69686006244336</v>
      </c>
    </row>
    <row r="21" spans="2:27" x14ac:dyDescent="0.2">
      <c r="B21" s="27" t="s">
        <v>48</v>
      </c>
      <c r="C21" s="28">
        <f t="shared" ref="C21:O21" si="29">C20/C$7</f>
        <v>0.12790697674418605</v>
      </c>
      <c r="D21" s="28">
        <f t="shared" si="29"/>
        <v>0.1347248576850095</v>
      </c>
      <c r="E21" s="29">
        <f t="shared" si="29"/>
        <v>0.14291307752545027</v>
      </c>
      <c r="F21" s="28">
        <f t="shared" si="29"/>
        <v>0.14734774066797643</v>
      </c>
      <c r="G21" s="28">
        <f t="shared" si="29"/>
        <v>0.15337423312883436</v>
      </c>
      <c r="H21" s="28">
        <f t="shared" si="29"/>
        <v>0.11538461538461539</v>
      </c>
      <c r="I21" s="28">
        <f t="shared" si="29"/>
        <v>0.15631691648822268</v>
      </c>
      <c r="J21" s="29">
        <f t="shared" si="29"/>
        <v>0.14089834515366431</v>
      </c>
      <c r="K21" s="28">
        <f t="shared" si="29"/>
        <v>0.18974358974358974</v>
      </c>
      <c r="L21" s="28">
        <f t="shared" si="29"/>
        <v>0.1111111111111111</v>
      </c>
      <c r="M21" s="28">
        <f t="shared" si="29"/>
        <v>7.5123152709359611E-2</v>
      </c>
      <c r="N21" s="28">
        <f t="shared" si="29"/>
        <v>9.879839786381843E-2</v>
      </c>
      <c r="O21" s="32">
        <f t="shared" si="29"/>
        <v>0.10809763657497094</v>
      </c>
      <c r="P21" s="232">
        <v>0.102517927674352</v>
      </c>
      <c r="Q21" s="232">
        <v>0.12582754037441099</v>
      </c>
      <c r="R21" s="232">
        <v>8.9404610985618402E-2</v>
      </c>
      <c r="S21" s="232">
        <v>0.104228157409042</v>
      </c>
      <c r="T21" s="229">
        <f>T20/T7</f>
        <v>0.10388372637301001</v>
      </c>
      <c r="U21" s="231">
        <v>0.102517927674352</v>
      </c>
      <c r="V21" s="231">
        <v>0.12582754037441099</v>
      </c>
      <c r="W21" s="232">
        <v>8.9404610985618402E-2</v>
      </c>
      <c r="X21" s="232">
        <v>0.104228157409042</v>
      </c>
      <c r="Y21" s="229">
        <f>Y20/Y7</f>
        <v>0.10374726296284648</v>
      </c>
      <c r="AA21" s="8" t="s">
        <v>106</v>
      </c>
    </row>
    <row r="22" spans="2:27" x14ac:dyDescent="0.2">
      <c r="E22" s="22"/>
      <c r="J22" s="22"/>
      <c r="O22" s="30"/>
      <c r="T22" s="22"/>
      <c r="Y22" s="22"/>
    </row>
    <row r="23" spans="2:27" x14ac:dyDescent="0.2">
      <c r="B23" s="8" t="s">
        <v>108</v>
      </c>
      <c r="C23" s="33">
        <v>10</v>
      </c>
      <c r="D23" s="33">
        <v>20</v>
      </c>
      <c r="E23" s="39">
        <v>451</v>
      </c>
      <c r="F23" s="33">
        <v>0</v>
      </c>
      <c r="G23" s="33">
        <v>7</v>
      </c>
      <c r="H23" s="33">
        <v>7</v>
      </c>
      <c r="I23" s="33">
        <v>25</v>
      </c>
      <c r="J23" s="39">
        <v>39</v>
      </c>
      <c r="K23" s="33">
        <v>7</v>
      </c>
      <c r="L23" s="33">
        <v>9</v>
      </c>
      <c r="M23" s="33">
        <v>27</v>
      </c>
      <c r="N23" s="33">
        <v>39</v>
      </c>
      <c r="O23" s="40">
        <v>82</v>
      </c>
      <c r="P23" s="50">
        <f>P7*P24</f>
        <v>2.432440085036633</v>
      </c>
      <c r="Q23" s="50">
        <f t="shared" ref="Q23:S23" si="30">Q7*Q24</f>
        <v>2.1159887625865803</v>
      </c>
      <c r="R23" s="50">
        <f t="shared" si="30"/>
        <v>2.0930852563760918</v>
      </c>
      <c r="S23" s="50">
        <f t="shared" si="30"/>
        <v>2.3580846776989586</v>
      </c>
      <c r="T23" s="55">
        <f>SUM(P23:S23)</f>
        <v>8.9995987816982641</v>
      </c>
      <c r="U23" s="50">
        <f>U7*U24</f>
        <v>6.2604973352092292</v>
      </c>
      <c r="V23" s="50">
        <f t="shared" ref="V23" si="31">V7*V24</f>
        <v>4.9292250828285127</v>
      </c>
      <c r="W23" s="235">
        <f t="shared" ref="W23" si="32">W7*W24</f>
        <v>5.2205210576951995</v>
      </c>
      <c r="X23" s="235">
        <f t="shared" ref="X23" si="33">X7*X24</f>
        <v>5.9910237549785279</v>
      </c>
      <c r="Y23" s="55">
        <f>SUM(U23:X23)</f>
        <v>22.401267230711468</v>
      </c>
    </row>
    <row r="24" spans="2:27" x14ac:dyDescent="0.2">
      <c r="B24" s="27" t="s">
        <v>48</v>
      </c>
      <c r="C24" s="28">
        <f t="shared" ref="C24:O24" si="34">C23/C$7</f>
        <v>1.937984496124031E-2</v>
      </c>
      <c r="D24" s="28">
        <f t="shared" si="34"/>
        <v>3.7950664136622389E-2</v>
      </c>
      <c r="E24" s="29">
        <f t="shared" si="34"/>
        <v>0.17658574784651526</v>
      </c>
      <c r="F24" s="28">
        <f t="shared" si="34"/>
        <v>0</v>
      </c>
      <c r="G24" s="28">
        <f t="shared" si="34"/>
        <v>1.4314928425357873E-2</v>
      </c>
      <c r="H24" s="28">
        <f t="shared" si="34"/>
        <v>1.0769230769230769E-2</v>
      </c>
      <c r="I24" s="28">
        <f t="shared" si="34"/>
        <v>5.353319057815846E-2</v>
      </c>
      <c r="J24" s="29">
        <f t="shared" si="34"/>
        <v>1.8439716312056736E-2</v>
      </c>
      <c r="K24" s="28">
        <f t="shared" si="34"/>
        <v>1.7948717948717947E-2</v>
      </c>
      <c r="L24" s="28">
        <f t="shared" si="34"/>
        <v>1.4285714285714285E-2</v>
      </c>
      <c r="M24" s="28">
        <f t="shared" si="34"/>
        <v>3.3251231527093597E-2</v>
      </c>
      <c r="N24" s="28">
        <f t="shared" si="34"/>
        <v>5.2069425901201602E-2</v>
      </c>
      <c r="O24" s="32">
        <f t="shared" si="34"/>
        <v>3.17706315381635E-2</v>
      </c>
      <c r="P24" s="234">
        <v>2.7131901682509898E-3</v>
      </c>
      <c r="Q24" s="234">
        <v>3.2581705936761901E-3</v>
      </c>
      <c r="R24" s="234">
        <v>2.2726388776680602E-3</v>
      </c>
      <c r="S24" s="234">
        <v>2.6333032409831701E-3</v>
      </c>
      <c r="T24" s="229">
        <f>T23/T7</f>
        <v>2.6765055717449006E-3</v>
      </c>
      <c r="U24" s="233">
        <v>5.9434263606587996E-3</v>
      </c>
      <c r="V24" s="233">
        <v>6.69763877632724E-3</v>
      </c>
      <c r="W24" s="233">
        <v>4.8412970845436304E-3</v>
      </c>
      <c r="X24" s="234">
        <v>5.6409035539051501E-3</v>
      </c>
      <c r="Y24" s="229">
        <f>Y23/Y7</f>
        <v>5.7004858014595965E-3</v>
      </c>
      <c r="AA24" s="8" t="s">
        <v>106</v>
      </c>
    </row>
    <row r="25" spans="2:27" x14ac:dyDescent="0.2">
      <c r="E25" s="22"/>
      <c r="J25" s="22"/>
      <c r="O25" s="30"/>
      <c r="T25" s="22"/>
      <c r="U25" s="33"/>
      <c r="V25" s="33"/>
      <c r="W25" s="33"/>
      <c r="X25" s="33"/>
      <c r="Y25" s="22"/>
    </row>
    <row r="26" spans="2:27" s="62" customFormat="1" x14ac:dyDescent="0.2">
      <c r="B26" s="87" t="s">
        <v>109</v>
      </c>
      <c r="C26" s="51">
        <f t="shared" ref="C26:O26" si="35">C11-C14-C17-C20-C23</f>
        <v>7</v>
      </c>
      <c r="D26" s="51">
        <f t="shared" si="35"/>
        <v>98</v>
      </c>
      <c r="E26" s="56">
        <f t="shared" si="35"/>
        <v>84</v>
      </c>
      <c r="F26" s="51">
        <f t="shared" si="35"/>
        <v>25</v>
      </c>
      <c r="G26" s="51">
        <f t="shared" si="35"/>
        <v>27</v>
      </c>
      <c r="H26" s="51">
        <f t="shared" si="35"/>
        <v>158</v>
      </c>
      <c r="I26" s="51">
        <f t="shared" si="35"/>
        <v>16</v>
      </c>
      <c r="J26" s="56">
        <f t="shared" si="35"/>
        <v>226</v>
      </c>
      <c r="K26" s="51">
        <f t="shared" si="35"/>
        <v>-106</v>
      </c>
      <c r="L26" s="51">
        <f t="shared" si="35"/>
        <v>66</v>
      </c>
      <c r="M26" s="51">
        <f t="shared" si="35"/>
        <v>263</v>
      </c>
      <c r="N26" s="51">
        <f t="shared" si="35"/>
        <v>-313</v>
      </c>
      <c r="O26" s="58">
        <f t="shared" si="35"/>
        <v>-90</v>
      </c>
      <c r="P26" s="51">
        <f t="shared" ref="P26:Y26" si="36">P11-P14-P17-P20-P23</f>
        <v>266.79603283860342</v>
      </c>
      <c r="Q26" s="51">
        <f t="shared" si="36"/>
        <v>166.14962556333975</v>
      </c>
      <c r="R26" s="51">
        <f t="shared" si="36"/>
        <v>286.91219095568511</v>
      </c>
      <c r="S26" s="51">
        <f t="shared" si="36"/>
        <v>251.53787042240936</v>
      </c>
      <c r="T26" s="56">
        <f t="shared" si="36"/>
        <v>971.3957197800371</v>
      </c>
      <c r="U26" s="51">
        <f t="shared" si="36"/>
        <v>404.86402006555232</v>
      </c>
      <c r="V26" s="51">
        <f t="shared" si="36"/>
        <v>238.74357377831143</v>
      </c>
      <c r="W26" s="51">
        <f t="shared" si="36"/>
        <v>410.79675775843197</v>
      </c>
      <c r="X26" s="51">
        <f t="shared" si="36"/>
        <v>401.34273770988949</v>
      </c>
      <c r="Y26" s="56">
        <f t="shared" si="36"/>
        <v>1455.7470893121849</v>
      </c>
    </row>
    <row r="27" spans="2:27" x14ac:dyDescent="0.2">
      <c r="B27" s="7" t="s">
        <v>110</v>
      </c>
      <c r="C27" s="23">
        <f t="shared" ref="C27:O27" si="37">C26/C7</f>
        <v>1.3565891472868217E-2</v>
      </c>
      <c r="D27" s="23">
        <f t="shared" si="37"/>
        <v>0.1859582542694497</v>
      </c>
      <c r="E27" s="24">
        <f t="shared" si="37"/>
        <v>3.2889584964761159E-2</v>
      </c>
      <c r="F27" s="23">
        <f t="shared" si="37"/>
        <v>4.9115913555992138E-2</v>
      </c>
      <c r="G27" s="23">
        <f t="shared" si="37"/>
        <v>5.5214723926380369E-2</v>
      </c>
      <c r="H27" s="23">
        <f t="shared" si="37"/>
        <v>0.24307692307692308</v>
      </c>
      <c r="I27" s="23">
        <f t="shared" si="37"/>
        <v>3.4261241970021415E-2</v>
      </c>
      <c r="J27" s="24">
        <f t="shared" si="37"/>
        <v>0.10685579196217494</v>
      </c>
      <c r="K27" s="23">
        <f t="shared" si="37"/>
        <v>-0.27179487179487177</v>
      </c>
      <c r="L27" s="23">
        <f t="shared" si="37"/>
        <v>0.10476190476190476</v>
      </c>
      <c r="M27" s="23">
        <f t="shared" si="37"/>
        <v>0.32389162561576357</v>
      </c>
      <c r="N27" s="23">
        <f t="shared" si="37"/>
        <v>-0.41789052069425903</v>
      </c>
      <c r="O27" s="31">
        <f t="shared" si="37"/>
        <v>-3.487020534676482E-2</v>
      </c>
      <c r="P27" s="23">
        <f t="shared" ref="P27:Y27" si="38">P26/P7</f>
        <v>0.29758939497790976</v>
      </c>
      <c r="Q27" s="23">
        <f t="shared" si="38"/>
        <v>0.25583492395254775</v>
      </c>
      <c r="R27" s="23">
        <f t="shared" si="38"/>
        <v>0.31152472058006342</v>
      </c>
      <c r="S27" s="23">
        <f t="shared" si="38"/>
        <v>0.28089554869576927</v>
      </c>
      <c r="T27" s="24">
        <f t="shared" si="38"/>
        <v>0.28889577407025208</v>
      </c>
      <c r="U27" s="23">
        <f t="shared" si="38"/>
        <v>0.38435915878550209</v>
      </c>
      <c r="V27" s="23">
        <f t="shared" si="38"/>
        <v>0.32439545576989665</v>
      </c>
      <c r="W27" s="23">
        <f t="shared" si="38"/>
        <v>0.3809560623731878</v>
      </c>
      <c r="X27" s="23">
        <f t="shared" si="38"/>
        <v>0.37788794838284734</v>
      </c>
      <c r="Y27" s="24">
        <f t="shared" si="38"/>
        <v>0.37044625769042644</v>
      </c>
    </row>
    <row r="28" spans="2:27" x14ac:dyDescent="0.2">
      <c r="E28" s="22"/>
      <c r="J28" s="22"/>
      <c r="O28" s="30"/>
      <c r="T28" s="22"/>
      <c r="Y28" s="22"/>
    </row>
    <row r="29" spans="2:27" x14ac:dyDescent="0.2">
      <c r="B29" s="8" t="s">
        <v>111</v>
      </c>
      <c r="C29" s="34">
        <v>-68</v>
      </c>
      <c r="D29" s="34">
        <v>-75</v>
      </c>
      <c r="E29" s="41">
        <v>-339</v>
      </c>
      <c r="F29" s="34">
        <v>-59</v>
      </c>
      <c r="G29" s="34">
        <v>-62</v>
      </c>
      <c r="H29" s="34">
        <v>-66</v>
      </c>
      <c r="I29" s="34">
        <v>-51</v>
      </c>
      <c r="J29" s="41">
        <v>-238</v>
      </c>
      <c r="K29" s="34">
        <v>-74</v>
      </c>
      <c r="L29" s="34">
        <v>-62</v>
      </c>
      <c r="M29" s="34">
        <v>-67</v>
      </c>
      <c r="N29" s="34">
        <v>-99</v>
      </c>
      <c r="O29" s="42">
        <v>-302</v>
      </c>
      <c r="P29" s="224">
        <f>-('Balance Sheet'!P99 * 'Balance Sheet'!P108 / 4)</f>
        <v>-149.71428622436864</v>
      </c>
      <c r="Q29" s="224">
        <f>-('Balance Sheet'!Q99 * 'Balance Sheet'!Q108 / 4)</f>
        <v>-148.71138889621872</v>
      </c>
      <c r="R29" s="224">
        <f>-('Balance Sheet'!R99 * 'Balance Sheet'!R108 / 4)</f>
        <v>-147.70849156806881</v>
      </c>
      <c r="S29" s="224">
        <f>-('Balance Sheet'!S99 * 'Balance Sheet'!S108 / 4)</f>
        <v>-146.70559423991887</v>
      </c>
      <c r="T29" s="55">
        <f>SUM(P29:S29)</f>
        <v>-592.83976092857506</v>
      </c>
      <c r="U29" s="223">
        <f>-('Balance Sheet'!U99 * 'Balance Sheet'!U108 / 4)</f>
        <v>-145.70269691176895</v>
      </c>
      <c r="V29" s="224">
        <f>-('Balance Sheet'!V99 * 'Balance Sheet'!V108 / 4)</f>
        <v>-144.69979958361904</v>
      </c>
      <c r="W29" s="224">
        <f>-('Balance Sheet'!W99 * 'Balance Sheet'!W108 / 4)</f>
        <v>-143.69690225546913</v>
      </c>
      <c r="X29" s="224">
        <f>-('Balance Sheet'!X99 * 'Balance Sheet'!X108 / 4)</f>
        <v>-142.69400492731921</v>
      </c>
      <c r="Y29" s="55">
        <f>SUM(U29:X29)</f>
        <v>-576.79340367817633</v>
      </c>
      <c r="AA29" s="8" t="s">
        <v>112</v>
      </c>
    </row>
    <row r="30" spans="2:27" x14ac:dyDescent="0.2">
      <c r="E30" s="22"/>
      <c r="J30" s="22"/>
      <c r="O30" s="30"/>
      <c r="R30" s="220"/>
      <c r="S30" s="220"/>
      <c r="T30" s="22"/>
      <c r="Y30" s="22"/>
    </row>
    <row r="31" spans="2:27" x14ac:dyDescent="0.2">
      <c r="B31" s="8" t="s">
        <v>113</v>
      </c>
      <c r="C31" s="34">
        <v>-31</v>
      </c>
      <c r="D31" s="34">
        <v>213</v>
      </c>
      <c r="E31" s="41">
        <v>1126</v>
      </c>
      <c r="F31" s="34">
        <v>422</v>
      </c>
      <c r="G31" s="34">
        <v>605</v>
      </c>
      <c r="H31" s="34">
        <v>87</v>
      </c>
      <c r="I31" s="34">
        <v>9</v>
      </c>
      <c r="J31" s="41">
        <v>1123</v>
      </c>
      <c r="K31" s="34">
        <v>-7</v>
      </c>
      <c r="L31" s="34">
        <v>93</v>
      </c>
      <c r="M31" s="34">
        <v>108</v>
      </c>
      <c r="N31" s="34">
        <v>32</v>
      </c>
      <c r="O31" s="42">
        <v>226</v>
      </c>
      <c r="P31" s="225">
        <v>220</v>
      </c>
      <c r="Q31" s="225">
        <v>220</v>
      </c>
      <c r="R31" s="225">
        <v>220</v>
      </c>
      <c r="S31" s="225">
        <v>220</v>
      </c>
      <c r="T31" s="22">
        <f>SUM(P31:S31)</f>
        <v>880</v>
      </c>
      <c r="U31" s="182">
        <v>220</v>
      </c>
      <c r="V31" s="225">
        <v>220</v>
      </c>
      <c r="W31" s="225">
        <v>220</v>
      </c>
      <c r="X31" s="225">
        <v>220</v>
      </c>
      <c r="Y31" s="22">
        <f>SUM(U31:X31)</f>
        <v>880</v>
      </c>
      <c r="AA31" s="8" t="s">
        <v>114</v>
      </c>
    </row>
    <row r="32" spans="2:27" x14ac:dyDescent="0.2">
      <c r="B32" s="26"/>
      <c r="C32" s="28"/>
      <c r="D32" s="28"/>
      <c r="E32" s="29"/>
      <c r="F32" s="28"/>
      <c r="G32" s="28"/>
      <c r="H32" s="28"/>
      <c r="I32" s="28"/>
      <c r="J32" s="29"/>
      <c r="K32" s="28"/>
      <c r="L32" s="28"/>
      <c r="M32" s="28"/>
      <c r="N32" s="28"/>
      <c r="O32" s="32"/>
      <c r="T32" s="22"/>
      <c r="Y32" s="22"/>
    </row>
    <row r="33" spans="2:27" s="62" customFormat="1" x14ac:dyDescent="0.2">
      <c r="B33" s="51" t="s">
        <v>115</v>
      </c>
      <c r="C33" s="51">
        <f t="shared" ref="C33:O33" si="39">C26+C29+C31</f>
        <v>-92</v>
      </c>
      <c r="D33" s="51">
        <f t="shared" si="39"/>
        <v>236</v>
      </c>
      <c r="E33" s="56">
        <f t="shared" si="39"/>
        <v>871</v>
      </c>
      <c r="F33" s="51">
        <f t="shared" si="39"/>
        <v>388</v>
      </c>
      <c r="G33" s="51">
        <f t="shared" si="39"/>
        <v>570</v>
      </c>
      <c r="H33" s="51">
        <f t="shared" si="39"/>
        <v>179</v>
      </c>
      <c r="I33" s="51">
        <f t="shared" si="39"/>
        <v>-26</v>
      </c>
      <c r="J33" s="56">
        <f t="shared" si="39"/>
        <v>1111</v>
      </c>
      <c r="K33" s="51">
        <f t="shared" si="39"/>
        <v>-187</v>
      </c>
      <c r="L33" s="51">
        <f t="shared" si="39"/>
        <v>97</v>
      </c>
      <c r="M33" s="51">
        <f t="shared" si="39"/>
        <v>304</v>
      </c>
      <c r="N33" s="51">
        <f t="shared" si="39"/>
        <v>-380</v>
      </c>
      <c r="O33" s="58">
        <f t="shared" si="39"/>
        <v>-166</v>
      </c>
      <c r="P33" s="299">
        <f t="shared" ref="P33:Y33" si="40">P26+P29+P31</f>
        <v>337.08174661423482</v>
      </c>
      <c r="Q33" s="299">
        <f t="shared" si="40"/>
        <v>237.43823666712103</v>
      </c>
      <c r="R33" s="299">
        <f t="shared" si="40"/>
        <v>359.20369938761633</v>
      </c>
      <c r="S33" s="299">
        <f t="shared" si="40"/>
        <v>324.83227618249049</v>
      </c>
      <c r="T33" s="56">
        <f t="shared" si="40"/>
        <v>1258.555958851462</v>
      </c>
      <c r="U33" s="299">
        <f t="shared" si="40"/>
        <v>479.16132315378337</v>
      </c>
      <c r="V33" s="299">
        <f t="shared" si="40"/>
        <v>314.04377419469239</v>
      </c>
      <c r="W33" s="299">
        <f t="shared" si="40"/>
        <v>487.09985550296284</v>
      </c>
      <c r="X33" s="299">
        <f t="shared" si="40"/>
        <v>478.64873278257028</v>
      </c>
      <c r="Y33" s="56">
        <f t="shared" si="40"/>
        <v>1758.9536856340087</v>
      </c>
    </row>
    <row r="34" spans="2:27" x14ac:dyDescent="0.2">
      <c r="E34" s="22"/>
      <c r="J34" s="22"/>
      <c r="O34" s="30"/>
      <c r="T34" s="22"/>
      <c r="Y34" s="22"/>
    </row>
    <row r="35" spans="2:27" x14ac:dyDescent="0.2">
      <c r="B35" s="8" t="s">
        <v>116</v>
      </c>
      <c r="C35" s="34">
        <v>-16</v>
      </c>
      <c r="D35" s="34">
        <v>48</v>
      </c>
      <c r="E35" s="41">
        <v>263</v>
      </c>
      <c r="F35" s="34">
        <v>69</v>
      </c>
      <c r="G35" s="34">
        <v>112</v>
      </c>
      <c r="H35" s="34">
        <v>11</v>
      </c>
      <c r="I35" s="34">
        <v>-94</v>
      </c>
      <c r="J35" s="41">
        <v>98</v>
      </c>
      <c r="K35" s="34">
        <v>-52</v>
      </c>
      <c r="L35" s="34">
        <v>25</v>
      </c>
      <c r="M35" s="34">
        <v>97</v>
      </c>
      <c r="N35" s="34">
        <v>-17</v>
      </c>
      <c r="O35" s="42">
        <v>53</v>
      </c>
      <c r="P35" s="225">
        <v>5</v>
      </c>
      <c r="Q35" s="225">
        <v>5</v>
      </c>
      <c r="R35" s="225">
        <v>11</v>
      </c>
      <c r="S35" s="225">
        <v>9</v>
      </c>
      <c r="T35" s="22">
        <f>SUM(P35:S35)</f>
        <v>30</v>
      </c>
      <c r="U35" s="182">
        <v>8</v>
      </c>
      <c r="V35" s="225">
        <v>4</v>
      </c>
      <c r="W35" s="225">
        <v>9</v>
      </c>
      <c r="X35" s="225">
        <v>9</v>
      </c>
      <c r="Y35" s="22">
        <f>SUM(U35:X35)</f>
        <v>30</v>
      </c>
      <c r="AA35" s="8" t="s">
        <v>114</v>
      </c>
    </row>
    <row r="36" spans="2:27" x14ac:dyDescent="0.2">
      <c r="B36" s="27" t="s">
        <v>117</v>
      </c>
      <c r="C36" s="28">
        <f t="shared" ref="C36:N36" si="41">IFERROR(C35/C33,0)</f>
        <v>0.17391304347826086</v>
      </c>
      <c r="D36" s="28">
        <f t="shared" si="41"/>
        <v>0.20338983050847459</v>
      </c>
      <c r="E36" s="29">
        <f t="shared" si="41"/>
        <v>0.30195177956371988</v>
      </c>
      <c r="F36" s="28">
        <f t="shared" si="41"/>
        <v>0.17783505154639176</v>
      </c>
      <c r="G36" s="28">
        <f t="shared" si="41"/>
        <v>0.19649122807017544</v>
      </c>
      <c r="H36" s="28">
        <f t="shared" si="41"/>
        <v>6.1452513966480445E-2</v>
      </c>
      <c r="I36" s="28">
        <f t="shared" si="41"/>
        <v>3.6153846153846154</v>
      </c>
      <c r="J36" s="29">
        <f t="shared" si="41"/>
        <v>8.8208820882088215E-2</v>
      </c>
      <c r="K36" s="28">
        <f t="shared" si="41"/>
        <v>0.27807486631016043</v>
      </c>
      <c r="L36" s="28">
        <f t="shared" si="41"/>
        <v>0.25773195876288657</v>
      </c>
      <c r="M36" s="28">
        <f t="shared" si="41"/>
        <v>0.31907894736842107</v>
      </c>
      <c r="N36" s="28">
        <f t="shared" si="41"/>
        <v>4.4736842105263158E-2</v>
      </c>
      <c r="O36" s="32">
        <f>IFERROR(O35/O33,0)</f>
        <v>-0.31927710843373491</v>
      </c>
      <c r="P36" s="28">
        <f t="shared" ref="P36:Y36" si="42">IFERROR(P35/P33,0)</f>
        <v>1.4833197140520726E-2</v>
      </c>
      <c r="Q36" s="28">
        <f t="shared" si="42"/>
        <v>2.105810786916263E-2</v>
      </c>
      <c r="R36" s="28">
        <f t="shared" si="42"/>
        <v>3.0623292629650543E-2</v>
      </c>
      <c r="S36" s="28">
        <f t="shared" si="42"/>
        <v>2.770660633164362E-2</v>
      </c>
      <c r="T36" s="29">
        <f t="shared" si="42"/>
        <v>2.3836842366053806E-2</v>
      </c>
      <c r="U36" s="28">
        <f t="shared" si="42"/>
        <v>1.6695838360544092E-2</v>
      </c>
      <c r="V36" s="28">
        <f t="shared" si="42"/>
        <v>1.2737077849281572E-2</v>
      </c>
      <c r="W36" s="28">
        <f t="shared" si="42"/>
        <v>1.8476704310878729E-2</v>
      </c>
      <c r="X36" s="28">
        <f t="shared" si="42"/>
        <v>1.8802932889176407E-2</v>
      </c>
      <c r="Y36" s="29">
        <f t="shared" si="42"/>
        <v>1.7055594041514858E-2</v>
      </c>
    </row>
    <row r="37" spans="2:27" x14ac:dyDescent="0.2">
      <c r="E37" s="22"/>
      <c r="J37" s="22"/>
      <c r="O37" s="30"/>
      <c r="T37" s="22"/>
      <c r="Y37" s="22"/>
    </row>
    <row r="38" spans="2:27" s="62" customFormat="1" x14ac:dyDescent="0.2">
      <c r="B38" s="51" t="s">
        <v>118</v>
      </c>
      <c r="C38" s="51">
        <f>C33-C35</f>
        <v>-76</v>
      </c>
      <c r="D38" s="51">
        <f t="shared" ref="D38:Y38" si="43">D33-D35</f>
        <v>188</v>
      </c>
      <c r="E38" s="56">
        <f t="shared" si="43"/>
        <v>608</v>
      </c>
      <c r="F38" s="51">
        <f t="shared" si="43"/>
        <v>319</v>
      </c>
      <c r="G38" s="51">
        <f t="shared" si="43"/>
        <v>458</v>
      </c>
      <c r="H38" s="51">
        <f t="shared" si="43"/>
        <v>168</v>
      </c>
      <c r="I38" s="51">
        <f t="shared" si="43"/>
        <v>68</v>
      </c>
      <c r="J38" s="56">
        <f t="shared" si="43"/>
        <v>1013</v>
      </c>
      <c r="K38" s="51">
        <f t="shared" si="43"/>
        <v>-135</v>
      </c>
      <c r="L38" s="51">
        <f t="shared" si="43"/>
        <v>72</v>
      </c>
      <c r="M38" s="51">
        <f t="shared" si="43"/>
        <v>207</v>
      </c>
      <c r="N38" s="51">
        <f t="shared" si="43"/>
        <v>-363</v>
      </c>
      <c r="O38" s="58">
        <f>O33-O35</f>
        <v>-219</v>
      </c>
      <c r="P38" s="299">
        <f>P33-P35</f>
        <v>332.08174661423482</v>
      </c>
      <c r="Q38" s="299">
        <f t="shared" si="43"/>
        <v>232.43823666712103</v>
      </c>
      <c r="R38" s="299">
        <f t="shared" si="43"/>
        <v>348.20369938761633</v>
      </c>
      <c r="S38" s="299">
        <f t="shared" si="43"/>
        <v>315.83227618249049</v>
      </c>
      <c r="T38" s="56">
        <f t="shared" si="43"/>
        <v>1228.555958851462</v>
      </c>
      <c r="U38" s="299">
        <f t="shared" si="43"/>
        <v>471.16132315378337</v>
      </c>
      <c r="V38" s="299">
        <f t="shared" si="43"/>
        <v>310.04377419469239</v>
      </c>
      <c r="W38" s="299">
        <f t="shared" si="43"/>
        <v>478.09985550296284</v>
      </c>
      <c r="X38" s="299">
        <f t="shared" si="43"/>
        <v>469.64873278257028</v>
      </c>
      <c r="Y38" s="56">
        <f t="shared" si="43"/>
        <v>1728.9536856340087</v>
      </c>
    </row>
    <row r="39" spans="2:27" x14ac:dyDescent="0.2">
      <c r="B39" s="8" t="s">
        <v>119</v>
      </c>
      <c r="C39" s="48">
        <v>1</v>
      </c>
      <c r="D39" s="48">
        <v>6</v>
      </c>
      <c r="E39" s="49">
        <v>-5</v>
      </c>
      <c r="F39" s="48">
        <v>25</v>
      </c>
      <c r="G39" s="48">
        <v>4</v>
      </c>
      <c r="H39" s="48">
        <v>0</v>
      </c>
      <c r="I39" s="48">
        <v>-14</v>
      </c>
      <c r="J39" s="49">
        <v>15</v>
      </c>
      <c r="K39" s="48">
        <v>0</v>
      </c>
      <c r="L39" s="48">
        <v>0</v>
      </c>
      <c r="M39" s="48">
        <v>0</v>
      </c>
      <c r="N39" s="48">
        <v>0</v>
      </c>
      <c r="O39" s="219">
        <v>0</v>
      </c>
      <c r="P39" s="239">
        <v>3</v>
      </c>
      <c r="Q39" s="240">
        <v>3</v>
      </c>
      <c r="R39" s="240">
        <v>3</v>
      </c>
      <c r="S39" s="240">
        <v>3</v>
      </c>
      <c r="T39" s="221">
        <f>SUM(P39:S39)</f>
        <v>12</v>
      </c>
      <c r="U39" s="239">
        <v>3</v>
      </c>
      <c r="V39" s="239">
        <v>3</v>
      </c>
      <c r="W39" s="239">
        <v>3</v>
      </c>
      <c r="X39" s="239">
        <v>3</v>
      </c>
      <c r="Y39" s="186">
        <f>SUM(U39:X39)</f>
        <v>12</v>
      </c>
      <c r="AA39" s="8" t="s">
        <v>114</v>
      </c>
    </row>
    <row r="40" spans="2:27" x14ac:dyDescent="0.2">
      <c r="E40" s="22"/>
      <c r="J40" s="22"/>
      <c r="O40" s="30"/>
      <c r="T40" s="22"/>
      <c r="Y40" s="22"/>
    </row>
    <row r="41" spans="2:27" s="62" customFormat="1" x14ac:dyDescent="0.2">
      <c r="B41" s="51" t="s">
        <v>120</v>
      </c>
      <c r="C41" s="51">
        <f t="shared" ref="C41:N41" si="44">C38-C39</f>
        <v>-77</v>
      </c>
      <c r="D41" s="51">
        <f t="shared" si="44"/>
        <v>182</v>
      </c>
      <c r="E41" s="56">
        <f t="shared" si="44"/>
        <v>613</v>
      </c>
      <c r="F41" s="51">
        <f t="shared" si="44"/>
        <v>294</v>
      </c>
      <c r="G41" s="51">
        <f t="shared" si="44"/>
        <v>454</v>
      </c>
      <c r="H41" s="51">
        <f t="shared" si="44"/>
        <v>168</v>
      </c>
      <c r="I41" s="51">
        <f t="shared" si="44"/>
        <v>82</v>
      </c>
      <c r="J41" s="56">
        <f t="shared" si="44"/>
        <v>998</v>
      </c>
      <c r="K41" s="51">
        <f t="shared" si="44"/>
        <v>-135</v>
      </c>
      <c r="L41" s="51">
        <f t="shared" si="44"/>
        <v>72</v>
      </c>
      <c r="M41" s="51">
        <f t="shared" si="44"/>
        <v>207</v>
      </c>
      <c r="N41" s="51">
        <f t="shared" si="44"/>
        <v>-363</v>
      </c>
      <c r="O41" s="58">
        <f>O38-O39</f>
        <v>-219</v>
      </c>
      <c r="P41" s="299">
        <f t="shared" ref="P41:Y41" si="45">P38-P39</f>
        <v>329.08174661423482</v>
      </c>
      <c r="Q41" s="299">
        <f t="shared" si="45"/>
        <v>229.43823666712103</v>
      </c>
      <c r="R41" s="299">
        <f t="shared" si="45"/>
        <v>345.20369938761633</v>
      </c>
      <c r="S41" s="299">
        <f t="shared" si="45"/>
        <v>312.83227618249049</v>
      </c>
      <c r="T41" s="56">
        <f t="shared" si="45"/>
        <v>1216.555958851462</v>
      </c>
      <c r="U41" s="299">
        <f t="shared" si="45"/>
        <v>468.16132315378337</v>
      </c>
      <c r="V41" s="299">
        <f t="shared" si="45"/>
        <v>307.04377419469239</v>
      </c>
      <c r="W41" s="299">
        <f t="shared" si="45"/>
        <v>475.09985550296284</v>
      </c>
      <c r="X41" s="299">
        <f t="shared" si="45"/>
        <v>466.64873278257028</v>
      </c>
      <c r="Y41" s="56">
        <f t="shared" si="45"/>
        <v>1716.9536856340087</v>
      </c>
    </row>
    <row r="42" spans="2:27" x14ac:dyDescent="0.2">
      <c r="E42" s="22"/>
      <c r="J42" s="22"/>
      <c r="O42" s="44"/>
      <c r="T42" s="22"/>
      <c r="Y42" s="22"/>
    </row>
    <row r="43" spans="2:27" x14ac:dyDescent="0.2">
      <c r="B43" s="8" t="s">
        <v>121</v>
      </c>
      <c r="C43" s="52">
        <f t="shared" ref="C43:M43" si="46">C41/C46</f>
        <v>-1.3044435785800199</v>
      </c>
      <c r="D43" s="52">
        <f t="shared" si="46"/>
        <v>3.0847457627118646</v>
      </c>
      <c r="E43" s="53">
        <f t="shared" si="46"/>
        <v>10.384726151552625</v>
      </c>
      <c r="F43" s="52">
        <f t="shared" si="46"/>
        <v>4.999404832758005</v>
      </c>
      <c r="G43" s="52">
        <f t="shared" si="46"/>
        <v>7.9047254239648987</v>
      </c>
      <c r="H43" s="52">
        <f t="shared" si="46"/>
        <v>3.2990338543712201</v>
      </c>
      <c r="I43" s="52">
        <f t="shared" si="46"/>
        <v>1.6432865731462927</v>
      </c>
      <c r="J43" s="53">
        <f t="shared" si="46"/>
        <v>18.39495705385778</v>
      </c>
      <c r="K43" s="52">
        <f t="shared" si="46"/>
        <v>-2.9444480795655306</v>
      </c>
      <c r="L43" s="52">
        <f t="shared" si="46"/>
        <v>1.5805417745971813</v>
      </c>
      <c r="M43" s="52">
        <f t="shared" si="46"/>
        <v>4.531126871552404</v>
      </c>
      <c r="N43" s="52">
        <f>N41/N46</f>
        <v>-8.9629629629629637</v>
      </c>
      <c r="O43" s="54">
        <f>O41/O46</f>
        <v>-4.7929615687647731</v>
      </c>
      <c r="P43" s="52">
        <f t="shared" ref="P43:Y43" si="47">P41/P46</f>
        <v>7.2028319362048636</v>
      </c>
      <c r="Q43" s="52">
        <f t="shared" si="47"/>
        <v>5.0218678959113801</v>
      </c>
      <c r="R43" s="52">
        <f t="shared" si="47"/>
        <v>7.555703882172212</v>
      </c>
      <c r="S43" s="52">
        <f t="shared" si="47"/>
        <v>6.8471689260975692</v>
      </c>
      <c r="T43" s="53">
        <f>T41/T46</f>
        <v>26.627572640386013</v>
      </c>
      <c r="U43" s="52">
        <f t="shared" si="47"/>
        <v>10.246959499886563</v>
      </c>
      <c r="V43" s="52">
        <f t="shared" si="47"/>
        <v>6.720472117752947</v>
      </c>
      <c r="W43" s="52">
        <f t="shared" si="47"/>
        <v>10.398827790696524</v>
      </c>
      <c r="X43" s="52">
        <f t="shared" si="47"/>
        <v>10.213852424382491</v>
      </c>
      <c r="Y43" s="53">
        <f t="shared" si="47"/>
        <v>37.580111832718522</v>
      </c>
    </row>
    <row r="44" spans="2:27" x14ac:dyDescent="0.2">
      <c r="B44" s="8" t="s">
        <v>122</v>
      </c>
      <c r="C44" s="52">
        <f t="shared" ref="C44:O44" si="48">C41/C49</f>
        <v>-1.3044435785800199</v>
      </c>
      <c r="D44" s="52">
        <f t="shared" si="48"/>
        <v>3.0082644628099175</v>
      </c>
      <c r="E44" s="53">
        <f t="shared" si="48"/>
        <v>10.320039057896597</v>
      </c>
      <c r="F44" s="52">
        <f t="shared" si="48"/>
        <v>4.842216219777324</v>
      </c>
      <c r="G44" s="52">
        <f t="shared" si="48"/>
        <v>7.5951484734420749</v>
      </c>
      <c r="H44" s="52">
        <f t="shared" si="48"/>
        <v>3.1597359363538908</v>
      </c>
      <c r="I44" s="52">
        <f t="shared" si="48"/>
        <v>1.5648854961832062</v>
      </c>
      <c r="J44" s="53">
        <f t="shared" si="48"/>
        <v>17.668094749141382</v>
      </c>
      <c r="K44" s="52">
        <f t="shared" si="48"/>
        <v>-2.9444480795655306</v>
      </c>
      <c r="L44" s="52">
        <f t="shared" si="48"/>
        <v>1.5029746373029955</v>
      </c>
      <c r="M44" s="52">
        <f t="shared" si="48"/>
        <v>4.2608373471656167</v>
      </c>
      <c r="N44" s="52">
        <f t="shared" si="48"/>
        <v>-8.9629629629629637</v>
      </c>
      <c r="O44" s="54">
        <f t="shared" si="48"/>
        <v>-4.7929615687647731</v>
      </c>
      <c r="P44" s="52">
        <f t="shared" ref="P44:Y44" si="49">P41/P49</f>
        <v>6.8052669299152297</v>
      </c>
      <c r="Q44" s="52">
        <f t="shared" si="49"/>
        <v>4.7672494621459673</v>
      </c>
      <c r="R44" s="52">
        <f t="shared" si="49"/>
        <v>7.1726150538021471</v>
      </c>
      <c r="S44" s="52">
        <f t="shared" si="49"/>
        <v>6.5000041930089933</v>
      </c>
      <c r="T44" s="53">
        <f t="shared" si="49"/>
        <v>25.247893110864872</v>
      </c>
      <c r="U44" s="52">
        <f t="shared" si="49"/>
        <v>9.7274187965472869</v>
      </c>
      <c r="V44" s="52">
        <f t="shared" si="49"/>
        <v>6.3797311583622101</v>
      </c>
      <c r="W44" s="52">
        <f t="shared" si="49"/>
        <v>9.8715870707207802</v>
      </c>
      <c r="X44" s="52">
        <f t="shared" si="49"/>
        <v>9.6959903139266039</v>
      </c>
      <c r="Y44" s="53">
        <f t="shared" si="49"/>
        <v>35.674727339556874</v>
      </c>
    </row>
    <row r="45" spans="2:27" x14ac:dyDescent="0.2">
      <c r="E45" s="22"/>
      <c r="J45" s="22"/>
      <c r="O45" s="30"/>
      <c r="T45" s="22"/>
      <c r="V45" s="222"/>
      <c r="Y45" s="22"/>
    </row>
    <row r="46" spans="2:27" x14ac:dyDescent="0.2">
      <c r="B46" s="8" t="s">
        <v>123</v>
      </c>
      <c r="C46" s="43">
        <v>59.029000000000003</v>
      </c>
      <c r="D46" s="43">
        <v>59</v>
      </c>
      <c r="E46" s="141">
        <v>59.029000000000003</v>
      </c>
      <c r="F46" s="43">
        <v>58.807000000000002</v>
      </c>
      <c r="G46" s="43">
        <v>57.433999999999997</v>
      </c>
      <c r="H46" s="43">
        <v>50.923999999999999</v>
      </c>
      <c r="I46" s="43">
        <v>49.9</v>
      </c>
      <c r="J46" s="141">
        <v>54.253999999999998</v>
      </c>
      <c r="K46" s="43">
        <v>45.848999999999997</v>
      </c>
      <c r="L46" s="43">
        <v>45.554000000000002</v>
      </c>
      <c r="M46" s="43">
        <v>45.683999999999997</v>
      </c>
      <c r="N46" s="43">
        <v>40.5</v>
      </c>
      <c r="O46" s="142">
        <v>45.692</v>
      </c>
      <c r="P46" s="227">
        <v>45.687828000000003</v>
      </c>
      <c r="Q46" s="227">
        <v>45.687828000000003</v>
      </c>
      <c r="R46" s="227">
        <v>45.687828000000003</v>
      </c>
      <c r="S46" s="227">
        <v>45.687828000000003</v>
      </c>
      <c r="T46" s="141">
        <v>45.687828000000003</v>
      </c>
      <c r="U46" s="226">
        <v>45.687828000000003</v>
      </c>
      <c r="V46" s="227">
        <v>45.687828000000003</v>
      </c>
      <c r="W46" s="227">
        <v>45.687828000000003</v>
      </c>
      <c r="X46" s="227">
        <v>45.687828000000003</v>
      </c>
      <c r="Y46" s="141">
        <v>45.687828000000003</v>
      </c>
      <c r="AA46" s="8" t="s">
        <v>114</v>
      </c>
    </row>
    <row r="47" spans="2:27" x14ac:dyDescent="0.2">
      <c r="B47" s="5" t="s">
        <v>79</v>
      </c>
      <c r="E47" s="22"/>
      <c r="F47" s="23"/>
      <c r="G47" s="23"/>
      <c r="H47" s="23">
        <f t="shared" ref="H47:O47" si="50">H46/C46-1</f>
        <v>-0.13730539226481908</v>
      </c>
      <c r="I47" s="23">
        <f t="shared" si="50"/>
        <v>-0.15423728813559323</v>
      </c>
      <c r="J47" s="24">
        <f t="shared" si="50"/>
        <v>-8.0892442697657163E-2</v>
      </c>
      <c r="K47" s="23">
        <f t="shared" si="50"/>
        <v>-0.22034791776489204</v>
      </c>
      <c r="L47" s="23">
        <f t="shared" si="50"/>
        <v>-0.20684611902357486</v>
      </c>
      <c r="M47" s="23">
        <f t="shared" si="50"/>
        <v>-0.10289843688634048</v>
      </c>
      <c r="N47" s="23">
        <f t="shared" si="50"/>
        <v>-0.18837675350701399</v>
      </c>
      <c r="O47" s="31">
        <f t="shared" si="50"/>
        <v>-0.15781324879271574</v>
      </c>
      <c r="P47" s="23">
        <f t="shared" ref="P47" si="51">P46/K46-1</f>
        <v>-3.5152784139238502E-3</v>
      </c>
      <c r="Q47" s="23">
        <f t="shared" ref="Q47" si="52">Q46/L46-1</f>
        <v>2.9377881195944422E-3</v>
      </c>
      <c r="R47" s="23">
        <f t="shared" ref="R47" si="53">R46/M46-1</f>
        <v>8.3793012871202777E-5</v>
      </c>
      <c r="S47" s="23">
        <f t="shared" ref="S47" si="54">S46/N46-1</f>
        <v>0.1280945185185185</v>
      </c>
      <c r="T47" s="24">
        <f t="shared" ref="T47" si="55">T46/O46-1</f>
        <v>-9.1307012168417856E-5</v>
      </c>
      <c r="U47" s="23">
        <f t="shared" ref="U47" si="56">U46/P46-1</f>
        <v>0</v>
      </c>
      <c r="V47" s="23">
        <f t="shared" ref="V47" si="57">V46/Q46-1</f>
        <v>0</v>
      </c>
      <c r="W47" s="23">
        <f t="shared" ref="W47" si="58">W46/R46-1</f>
        <v>0</v>
      </c>
      <c r="X47" s="23">
        <f t="shared" ref="X47" si="59">X46/S46-1</f>
        <v>0</v>
      </c>
      <c r="Y47" s="24">
        <f t="shared" ref="Y47" si="60">Y46/T46-1</f>
        <v>0</v>
      </c>
    </row>
    <row r="48" spans="2:27" x14ac:dyDescent="0.2">
      <c r="B48" s="5"/>
      <c r="E48" s="22"/>
      <c r="F48" s="23"/>
      <c r="G48" s="23"/>
      <c r="H48" s="23"/>
      <c r="I48" s="23"/>
      <c r="J48" s="24"/>
      <c r="K48" s="23"/>
      <c r="L48" s="23"/>
      <c r="M48" s="23"/>
      <c r="N48" s="23"/>
      <c r="O48" s="31"/>
      <c r="T48" s="22"/>
      <c r="Y48" s="22"/>
    </row>
    <row r="49" spans="2:27" x14ac:dyDescent="0.2">
      <c r="B49" s="8" t="s">
        <v>124</v>
      </c>
      <c r="C49" s="43">
        <v>59.029000000000003</v>
      </c>
      <c r="D49" s="43">
        <v>60.5</v>
      </c>
      <c r="E49" s="141">
        <v>59.399000000000001</v>
      </c>
      <c r="F49" s="43">
        <v>60.716000000000001</v>
      </c>
      <c r="G49" s="43">
        <v>59.774999999999999</v>
      </c>
      <c r="H49" s="43">
        <v>53.168999999999997</v>
      </c>
      <c r="I49" s="43">
        <v>52.4</v>
      </c>
      <c r="J49" s="141">
        <v>56.485999999999997</v>
      </c>
      <c r="K49" s="43">
        <v>45.848999999999997</v>
      </c>
      <c r="L49" s="43">
        <v>47.905000000000001</v>
      </c>
      <c r="M49" s="43">
        <v>48.582000000000001</v>
      </c>
      <c r="N49" s="43">
        <v>40.5</v>
      </c>
      <c r="O49" s="142">
        <v>45.692</v>
      </c>
      <c r="P49" s="227">
        <v>48.356919721638903</v>
      </c>
      <c r="Q49" s="226">
        <v>48.128011443277799</v>
      </c>
      <c r="R49" s="227">
        <v>48.128011443277799</v>
      </c>
      <c r="S49" s="227">
        <v>48.128011443277799</v>
      </c>
      <c r="T49" s="352">
        <v>48.184454580407902</v>
      </c>
      <c r="U49" s="228">
        <v>48.128011443277799</v>
      </c>
      <c r="V49" s="227">
        <v>48.128011443277799</v>
      </c>
      <c r="W49" s="227">
        <v>48.128011443277799</v>
      </c>
      <c r="X49" s="227">
        <v>48.128011443277799</v>
      </c>
      <c r="Y49" s="141">
        <v>48.128011443277799</v>
      </c>
      <c r="AA49" s="8" t="s">
        <v>114</v>
      </c>
    </row>
    <row r="50" spans="2:27" x14ac:dyDescent="0.2">
      <c r="B50" s="5" t="s">
        <v>79</v>
      </c>
      <c r="E50" s="22"/>
      <c r="F50" s="23"/>
      <c r="G50" s="23"/>
      <c r="H50" s="23">
        <f t="shared" ref="H50" si="61">H49/C49-1</f>
        <v>-9.9273238577648359E-2</v>
      </c>
      <c r="I50" s="23">
        <f t="shared" ref="I50" si="62">I49/D49-1</f>
        <v>-0.13388429752066122</v>
      </c>
      <c r="J50" s="24">
        <f t="shared" ref="J50" si="63">J49/E49-1</f>
        <v>-4.9041229650330864E-2</v>
      </c>
      <c r="K50" s="23">
        <f t="shared" ref="K50" si="64">K49/F49-1</f>
        <v>-0.24486132156268536</v>
      </c>
      <c r="L50" s="23">
        <f t="shared" ref="L50" si="65">L49/G49-1</f>
        <v>-0.19857800083647004</v>
      </c>
      <c r="M50" s="23">
        <f t="shared" ref="M50" si="66">M49/H49-1</f>
        <v>-8.6272075833662365E-2</v>
      </c>
      <c r="N50" s="23">
        <f t="shared" ref="N50" si="67">N49/I49-1</f>
        <v>-0.22709923664122134</v>
      </c>
      <c r="O50" s="31">
        <f>O49/J49-1</f>
        <v>-0.19109159791806818</v>
      </c>
      <c r="P50" s="23">
        <f t="shared" ref="P50" si="68">P49/K49-1</f>
        <v>5.469955117099401E-2</v>
      </c>
      <c r="Q50" s="23">
        <f t="shared" ref="Q50" si="69">Q49/L49-1</f>
        <v>4.6552853204842037E-3</v>
      </c>
      <c r="R50" s="23">
        <f t="shared" ref="R50" si="70">R49/M49-1</f>
        <v>-9.3447893607139232E-3</v>
      </c>
      <c r="S50" s="23">
        <f t="shared" ref="S50" si="71">S49/N49-1</f>
        <v>0.18834596156241479</v>
      </c>
      <c r="T50" s="24">
        <f>T49/O49-1</f>
        <v>5.4549036601766243E-2</v>
      </c>
      <c r="U50" s="23">
        <f>U49/P49-1</f>
        <v>-4.7337233156865555E-3</v>
      </c>
      <c r="V50" s="23">
        <f t="shared" ref="V50" si="72">V49/Q49-1</f>
        <v>0</v>
      </c>
      <c r="W50" s="23">
        <f t="shared" ref="W50" si="73">W49/R49-1</f>
        <v>0</v>
      </c>
      <c r="X50" s="23">
        <f t="shared" ref="X50" si="74">X49/S49-1</f>
        <v>0</v>
      </c>
      <c r="Y50" s="24">
        <f>Y49/T49-1</f>
        <v>-1.1713972404919781E-3</v>
      </c>
    </row>
    <row r="51" spans="2:27" x14ac:dyDescent="0.2">
      <c r="E51" s="22"/>
      <c r="J51" s="22"/>
      <c r="O51" s="30"/>
      <c r="T51" s="22"/>
      <c r="Y51" s="22"/>
    </row>
    <row r="52" spans="2:27" x14ac:dyDescent="0.2">
      <c r="E52" s="22"/>
      <c r="J52" s="22"/>
      <c r="O52" s="30"/>
      <c r="T52" s="22"/>
      <c r="Y52" s="22"/>
    </row>
    <row r="53" spans="2:27" x14ac:dyDescent="0.2">
      <c r="E53" s="22"/>
      <c r="J53" s="22"/>
      <c r="O53" s="30"/>
      <c r="T53" s="22"/>
      <c r="Y53" s="22"/>
    </row>
    <row r="54" spans="2:27" x14ac:dyDescent="0.2">
      <c r="B54" s="35" t="s">
        <v>125</v>
      </c>
      <c r="C54" s="51">
        <f>C26</f>
        <v>7</v>
      </c>
      <c r="D54" s="51">
        <f t="shared" ref="D54:O54" si="75">D26</f>
        <v>98</v>
      </c>
      <c r="E54" s="56">
        <f t="shared" si="75"/>
        <v>84</v>
      </c>
      <c r="F54" s="51">
        <f t="shared" si="75"/>
        <v>25</v>
      </c>
      <c r="G54" s="51">
        <f t="shared" si="75"/>
        <v>27</v>
      </c>
      <c r="H54" s="51">
        <f t="shared" si="75"/>
        <v>158</v>
      </c>
      <c r="I54" s="51">
        <f t="shared" si="75"/>
        <v>16</v>
      </c>
      <c r="J54" s="56">
        <f t="shared" si="75"/>
        <v>226</v>
      </c>
      <c r="K54" s="51">
        <f t="shared" si="75"/>
        <v>-106</v>
      </c>
      <c r="L54" s="51">
        <f t="shared" si="75"/>
        <v>66</v>
      </c>
      <c r="M54" s="51">
        <f t="shared" si="75"/>
        <v>263</v>
      </c>
      <c r="N54" s="51">
        <f t="shared" si="75"/>
        <v>-313</v>
      </c>
      <c r="O54" s="58">
        <f t="shared" si="75"/>
        <v>-90</v>
      </c>
      <c r="P54" s="51">
        <f t="shared" ref="P54:Y54" si="76">P26</f>
        <v>266.79603283860342</v>
      </c>
      <c r="Q54" s="51">
        <f t="shared" si="76"/>
        <v>166.14962556333975</v>
      </c>
      <c r="R54" s="51">
        <f t="shared" si="76"/>
        <v>286.91219095568511</v>
      </c>
      <c r="S54" s="51">
        <f t="shared" si="76"/>
        <v>251.53787042240936</v>
      </c>
      <c r="T54" s="56">
        <f t="shared" si="76"/>
        <v>971.3957197800371</v>
      </c>
      <c r="U54" s="51">
        <f t="shared" si="76"/>
        <v>404.86402006555232</v>
      </c>
      <c r="V54" s="51">
        <f t="shared" si="76"/>
        <v>238.74357377831143</v>
      </c>
      <c r="W54" s="51">
        <f t="shared" si="76"/>
        <v>410.79675775843197</v>
      </c>
      <c r="X54" s="51">
        <f t="shared" si="76"/>
        <v>401.34273770988949</v>
      </c>
      <c r="Y54" s="56">
        <f t="shared" si="76"/>
        <v>1455.7470893121849</v>
      </c>
    </row>
    <row r="55" spans="2:27" x14ac:dyDescent="0.2">
      <c r="B55" s="88" t="s">
        <v>126</v>
      </c>
      <c r="C55" s="50">
        <f>C20</f>
        <v>66</v>
      </c>
      <c r="D55" s="50">
        <f t="shared" ref="D55:O55" si="77">D20</f>
        <v>71</v>
      </c>
      <c r="E55" s="55">
        <f t="shared" si="77"/>
        <v>365</v>
      </c>
      <c r="F55" s="50">
        <f t="shared" si="77"/>
        <v>75</v>
      </c>
      <c r="G55" s="50">
        <f t="shared" si="77"/>
        <v>75</v>
      </c>
      <c r="H55" s="50">
        <f t="shared" si="77"/>
        <v>75</v>
      </c>
      <c r="I55" s="50">
        <f t="shared" si="77"/>
        <v>73</v>
      </c>
      <c r="J55" s="55">
        <f t="shared" si="77"/>
        <v>298</v>
      </c>
      <c r="K55" s="50">
        <f t="shared" si="77"/>
        <v>74</v>
      </c>
      <c r="L55" s="50">
        <f t="shared" si="77"/>
        <v>70</v>
      </c>
      <c r="M55" s="50">
        <f t="shared" si="77"/>
        <v>61</v>
      </c>
      <c r="N55" s="50">
        <f t="shared" si="77"/>
        <v>74</v>
      </c>
      <c r="O55" s="57">
        <f t="shared" si="77"/>
        <v>279</v>
      </c>
      <c r="P55" s="50">
        <f t="shared" ref="P55:Y55" si="78">P20</f>
        <v>91.909781934206009</v>
      </c>
      <c r="Q55" s="50">
        <f t="shared" si="78"/>
        <v>81.717532523597455</v>
      </c>
      <c r="R55" s="50">
        <f t="shared" si="78"/>
        <v>82.341050725160613</v>
      </c>
      <c r="S55" s="50">
        <f t="shared" si="78"/>
        <v>93.334796063704815</v>
      </c>
      <c r="T55" s="55">
        <f t="shared" si="78"/>
        <v>349.30316124666888</v>
      </c>
      <c r="U55" s="50">
        <f t="shared" si="78"/>
        <v>107.98707245113597</v>
      </c>
      <c r="V55" s="50">
        <f t="shared" si="78"/>
        <v>92.604616169562746</v>
      </c>
      <c r="W55" s="50">
        <f t="shared" si="78"/>
        <v>96.407769685438751</v>
      </c>
      <c r="X55" s="50">
        <f t="shared" si="78"/>
        <v>110.69740175630585</v>
      </c>
      <c r="Y55" s="55">
        <f t="shared" si="78"/>
        <v>407.69686006244336</v>
      </c>
    </row>
    <row r="56" spans="2:27" x14ac:dyDescent="0.2">
      <c r="E56" s="22"/>
      <c r="J56" s="22"/>
      <c r="O56" s="30"/>
      <c r="T56" s="22"/>
      <c r="Y56" s="22"/>
    </row>
    <row r="57" spans="2:27" x14ac:dyDescent="0.2">
      <c r="B57" s="35" t="s">
        <v>127</v>
      </c>
      <c r="C57" s="51">
        <f>C54+C55</f>
        <v>73</v>
      </c>
      <c r="D57" s="51">
        <f t="shared" ref="D57:O57" si="79">D54+D55</f>
        <v>169</v>
      </c>
      <c r="E57" s="56">
        <f t="shared" si="79"/>
        <v>449</v>
      </c>
      <c r="F57" s="51">
        <f t="shared" si="79"/>
        <v>100</v>
      </c>
      <c r="G57" s="51">
        <f t="shared" si="79"/>
        <v>102</v>
      </c>
      <c r="H57" s="51">
        <f t="shared" si="79"/>
        <v>233</v>
      </c>
      <c r="I57" s="51">
        <f t="shared" si="79"/>
        <v>89</v>
      </c>
      <c r="J57" s="56">
        <f t="shared" si="79"/>
        <v>524</v>
      </c>
      <c r="K57" s="51">
        <f t="shared" si="79"/>
        <v>-32</v>
      </c>
      <c r="L57" s="51">
        <f t="shared" si="79"/>
        <v>136</v>
      </c>
      <c r="M57" s="51">
        <f t="shared" si="79"/>
        <v>324</v>
      </c>
      <c r="N57" s="51">
        <f t="shared" si="79"/>
        <v>-239</v>
      </c>
      <c r="O57" s="58">
        <f t="shared" si="79"/>
        <v>189</v>
      </c>
      <c r="P57" s="51">
        <f t="shared" ref="P57:Y57" si="80">P54+P55</f>
        <v>358.70581477280945</v>
      </c>
      <c r="Q57" s="51">
        <f t="shared" si="80"/>
        <v>247.8671580869372</v>
      </c>
      <c r="R57" s="51">
        <f t="shared" si="80"/>
        <v>369.25324168084569</v>
      </c>
      <c r="S57" s="51">
        <f t="shared" si="80"/>
        <v>344.87266648611416</v>
      </c>
      <c r="T57" s="56">
        <f t="shared" si="80"/>
        <v>1320.698881026706</v>
      </c>
      <c r="U57" s="51">
        <f t="shared" si="80"/>
        <v>512.85109251668825</v>
      </c>
      <c r="V57" s="51">
        <f t="shared" si="80"/>
        <v>331.34818994787418</v>
      </c>
      <c r="W57" s="51">
        <f t="shared" si="80"/>
        <v>507.20452744387069</v>
      </c>
      <c r="X57" s="51">
        <f t="shared" si="80"/>
        <v>512.04013946619534</v>
      </c>
      <c r="Y57" s="56">
        <f t="shared" si="80"/>
        <v>1863.4439493746283</v>
      </c>
    </row>
    <row r="58" spans="2:27" x14ac:dyDescent="0.2">
      <c r="B58" s="27" t="s">
        <v>48</v>
      </c>
      <c r="C58" s="23">
        <f>C57/C7</f>
        <v>0.14147286821705427</v>
      </c>
      <c r="D58" s="23">
        <f t="shared" ref="D58:Y58" si="81">D57/D7</f>
        <v>0.3206831119544592</v>
      </c>
      <c r="E58" s="24">
        <f t="shared" si="81"/>
        <v>0.17580266249021143</v>
      </c>
      <c r="F58" s="23">
        <f t="shared" si="81"/>
        <v>0.19646365422396855</v>
      </c>
      <c r="G58" s="23">
        <f t="shared" si="81"/>
        <v>0.20858895705521471</v>
      </c>
      <c r="H58" s="23">
        <f t="shared" si="81"/>
        <v>0.35846153846153844</v>
      </c>
      <c r="I58" s="23">
        <f t="shared" si="81"/>
        <v>0.19057815845824411</v>
      </c>
      <c r="J58" s="24">
        <f t="shared" si="81"/>
        <v>0.24775413711583924</v>
      </c>
      <c r="K58" s="23">
        <f t="shared" si="81"/>
        <v>-8.2051282051282051E-2</v>
      </c>
      <c r="L58" s="23">
        <f t="shared" si="81"/>
        <v>0.21587301587301588</v>
      </c>
      <c r="M58" s="23">
        <f t="shared" si="81"/>
        <v>0.39901477832512317</v>
      </c>
      <c r="N58" s="23">
        <f t="shared" si="81"/>
        <v>-0.31909212283044058</v>
      </c>
      <c r="O58" s="24">
        <f t="shared" si="81"/>
        <v>7.3227431228206116E-2</v>
      </c>
      <c r="P58" s="23">
        <f t="shared" si="81"/>
        <v>0.40010732265226179</v>
      </c>
      <c r="Q58" s="23">
        <f t="shared" si="81"/>
        <v>0.38166246432695872</v>
      </c>
      <c r="R58" s="23">
        <f t="shared" si="81"/>
        <v>0.40092933156568178</v>
      </c>
      <c r="S58" s="23">
        <f t="shared" si="81"/>
        <v>0.38512370610481128</v>
      </c>
      <c r="T58" s="24">
        <f t="shared" si="81"/>
        <v>0.3927795004432621</v>
      </c>
      <c r="U58" s="23">
        <f t="shared" si="81"/>
        <v>0.48687708645985406</v>
      </c>
      <c r="V58" s="23">
        <f t="shared" si="81"/>
        <v>0.45022299614430766</v>
      </c>
      <c r="W58" s="23">
        <f t="shared" si="81"/>
        <v>0.47036067335880616</v>
      </c>
      <c r="X58" s="23">
        <f t="shared" si="81"/>
        <v>0.48211610579188935</v>
      </c>
      <c r="Y58" s="24">
        <f t="shared" si="81"/>
        <v>0.47419352065327292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420F8-29C3-3947-BD93-74F4625628A6}">
  <dimension ref="B1:AI123"/>
  <sheetViews>
    <sheetView showGridLines="0" topLeftCell="A28" zoomScale="83" zoomScaleNormal="75" workbookViewId="0">
      <selection activeCell="AE35" sqref="AE35"/>
    </sheetView>
  </sheetViews>
  <sheetFormatPr baseColWidth="10" defaultColWidth="10.83203125" defaultRowHeight="16" outlineLevelRow="1" outlineLevelCol="1" x14ac:dyDescent="0.2"/>
  <cols>
    <col min="1" max="1" width="1.83203125" style="8" customWidth="1"/>
    <col min="2" max="2" width="63.33203125" style="8" bestFit="1" customWidth="1"/>
    <col min="3" max="4" width="10.83203125" style="8" hidden="1" customWidth="1" outlineLevel="1"/>
    <col min="5" max="5" width="10.83203125" style="8" collapsed="1"/>
    <col min="6" max="9" width="10.83203125" style="8" hidden="1" customWidth="1" outlineLevel="1"/>
    <col min="10" max="10" width="10.83203125" style="8" collapsed="1"/>
    <col min="11" max="14" width="10.83203125" style="8" hidden="1" customWidth="1" outlineLevel="1"/>
    <col min="15" max="15" width="10.83203125" style="8" collapsed="1"/>
    <col min="16" max="19" width="0" style="8" hidden="1" customWidth="1" outlineLevel="1"/>
    <col min="20" max="20" width="10.83203125" style="8" collapsed="1"/>
    <col min="21" max="24" width="0" style="8" hidden="1" customWidth="1" outlineLevel="1"/>
    <col min="25" max="25" width="10.83203125" style="8" collapsed="1"/>
    <col min="26" max="30" width="10.83203125" style="154"/>
    <col min="31" max="16384" width="10.83203125" style="8"/>
  </cols>
  <sheetData>
    <row r="1" spans="2:35" ht="10" customHeight="1" x14ac:dyDescent="0.2"/>
    <row r="2" spans="2:35" x14ac:dyDescent="0.2">
      <c r="B2" s="1" t="s">
        <v>18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25"/>
      <c r="Q2" s="25"/>
      <c r="R2" s="25"/>
      <c r="S2" s="25"/>
      <c r="T2" s="25"/>
      <c r="U2" s="25"/>
      <c r="V2" s="25"/>
      <c r="W2" s="25"/>
      <c r="X2" s="25"/>
      <c r="Y2" s="25"/>
      <c r="Z2" s="160"/>
      <c r="AA2" s="160"/>
      <c r="AB2" s="160"/>
      <c r="AC2" s="160"/>
      <c r="AD2" s="160"/>
      <c r="AE2" s="84"/>
      <c r="AF2" s="84"/>
      <c r="AG2" s="84"/>
      <c r="AH2" s="84"/>
      <c r="AI2" s="84"/>
    </row>
    <row r="3" spans="2:35" x14ac:dyDescent="0.2">
      <c r="B3" s="15" t="s">
        <v>128</v>
      </c>
      <c r="C3" s="16">
        <v>45170</v>
      </c>
      <c r="D3" s="16">
        <v>45261</v>
      </c>
      <c r="E3" s="17">
        <v>45261</v>
      </c>
      <c r="F3" s="16">
        <v>45352</v>
      </c>
      <c r="G3" s="16">
        <v>45444</v>
      </c>
      <c r="H3" s="16">
        <v>45536</v>
      </c>
      <c r="I3" s="16">
        <v>45627</v>
      </c>
      <c r="J3" s="17">
        <v>45627</v>
      </c>
      <c r="K3" s="16">
        <v>45717</v>
      </c>
      <c r="L3" s="16">
        <v>45809</v>
      </c>
      <c r="M3" s="16">
        <v>45901</v>
      </c>
      <c r="N3" s="16">
        <v>45992</v>
      </c>
      <c r="O3" s="17">
        <v>45992</v>
      </c>
      <c r="P3" s="18">
        <v>46082</v>
      </c>
      <c r="Q3" s="18">
        <v>46174</v>
      </c>
      <c r="R3" s="18">
        <v>46266</v>
      </c>
      <c r="S3" s="18">
        <v>46357</v>
      </c>
      <c r="T3" s="19">
        <v>46357</v>
      </c>
      <c r="U3" s="18">
        <v>46447</v>
      </c>
      <c r="V3" s="18">
        <v>46539</v>
      </c>
      <c r="W3" s="18">
        <v>46631</v>
      </c>
      <c r="X3" s="18">
        <v>46722</v>
      </c>
      <c r="Y3" s="19">
        <v>46722</v>
      </c>
      <c r="Z3" s="161"/>
      <c r="AA3" s="161"/>
      <c r="AB3" s="161"/>
      <c r="AC3" s="161"/>
      <c r="AD3" s="162"/>
      <c r="AE3" s="85"/>
      <c r="AF3" s="85"/>
      <c r="AG3" s="85"/>
      <c r="AH3" s="85"/>
      <c r="AI3" s="86"/>
    </row>
    <row r="4" spans="2:35" x14ac:dyDescent="0.2">
      <c r="B4" s="15"/>
      <c r="C4" s="12" t="s">
        <v>20</v>
      </c>
      <c r="D4" s="12" t="s">
        <v>21</v>
      </c>
      <c r="E4" s="13" t="s">
        <v>22</v>
      </c>
      <c r="F4" s="12" t="s">
        <v>23</v>
      </c>
      <c r="G4" s="12" t="s">
        <v>24</v>
      </c>
      <c r="H4" s="12" t="s">
        <v>25</v>
      </c>
      <c r="I4" s="12" t="s">
        <v>26</v>
      </c>
      <c r="J4" s="13" t="s">
        <v>27</v>
      </c>
      <c r="K4" s="12" t="s">
        <v>28</v>
      </c>
      <c r="L4" s="12" t="s">
        <v>29</v>
      </c>
      <c r="M4" s="12" t="s">
        <v>30</v>
      </c>
      <c r="N4" s="12" t="s">
        <v>31</v>
      </c>
      <c r="O4" s="13" t="s">
        <v>32</v>
      </c>
      <c r="P4" s="20" t="s">
        <v>33</v>
      </c>
      <c r="Q4" s="20" t="s">
        <v>34</v>
      </c>
      <c r="R4" s="20" t="s">
        <v>35</v>
      </c>
      <c r="S4" s="20" t="s">
        <v>36</v>
      </c>
      <c r="T4" s="14" t="s">
        <v>37</v>
      </c>
      <c r="U4" s="20" t="s">
        <v>38</v>
      </c>
      <c r="V4" s="20" t="s">
        <v>39</v>
      </c>
      <c r="W4" s="20" t="s">
        <v>40</v>
      </c>
      <c r="X4" s="20" t="s">
        <v>41</v>
      </c>
      <c r="Y4" s="14" t="s">
        <v>42</v>
      </c>
      <c r="Z4" s="157"/>
      <c r="AA4" s="157"/>
      <c r="AB4" s="157"/>
      <c r="AC4" s="157"/>
      <c r="AD4" s="159"/>
      <c r="AE4" s="81"/>
      <c r="AF4" s="81"/>
      <c r="AG4" s="81"/>
      <c r="AH4" s="81"/>
      <c r="AI4" s="83"/>
    </row>
    <row r="5" spans="2:35" x14ac:dyDescent="0.2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160"/>
      <c r="AA5" s="160"/>
      <c r="AB5" s="160"/>
      <c r="AC5" s="160"/>
      <c r="AD5" s="160"/>
      <c r="AE5" s="84"/>
      <c r="AF5" s="84"/>
      <c r="AG5" s="84"/>
      <c r="AH5" s="84"/>
      <c r="AI5" s="84"/>
    </row>
    <row r="6" spans="2:35" x14ac:dyDescent="0.2">
      <c r="E6" s="22"/>
      <c r="J6" s="22"/>
      <c r="O6" s="30"/>
      <c r="T6" s="22"/>
      <c r="Y6" s="22"/>
    </row>
    <row r="7" spans="2:35" x14ac:dyDescent="0.2">
      <c r="B7" s="9" t="s">
        <v>129</v>
      </c>
      <c r="E7" s="22"/>
      <c r="J7" s="22"/>
      <c r="O7" s="30"/>
      <c r="P7" s="62"/>
      <c r="Q7" s="62"/>
      <c r="R7" s="62"/>
      <c r="S7" s="62"/>
      <c r="T7" s="63"/>
      <c r="U7" s="62"/>
      <c r="V7" s="62"/>
      <c r="W7" s="62"/>
      <c r="X7" s="62"/>
      <c r="Y7" s="63"/>
    </row>
    <row r="8" spans="2:35" x14ac:dyDescent="0.2">
      <c r="B8" s="8" t="s">
        <v>130</v>
      </c>
      <c r="C8" s="50">
        <v>244</v>
      </c>
      <c r="D8" s="50">
        <v>400</v>
      </c>
      <c r="E8" s="55">
        <v>400</v>
      </c>
      <c r="F8" s="50">
        <v>597</v>
      </c>
      <c r="G8" s="50">
        <v>632</v>
      </c>
      <c r="H8" s="50">
        <v>648</v>
      </c>
      <c r="I8" s="50">
        <v>328</v>
      </c>
      <c r="J8" s="55">
        <v>328</v>
      </c>
      <c r="K8" s="50">
        <v>295</v>
      </c>
      <c r="L8" s="50">
        <v>122</v>
      </c>
      <c r="M8" s="50">
        <v>497</v>
      </c>
      <c r="N8" s="50">
        <v>689</v>
      </c>
      <c r="O8" s="57">
        <v>689</v>
      </c>
      <c r="P8" s="50">
        <f>O8+'Cash Flow Statement'!P77</f>
        <v>546.40300827863007</v>
      </c>
      <c r="Q8" s="50">
        <f>P8+'Cash Flow Statement'!Q77</f>
        <v>1097.2256668422383</v>
      </c>
      <c r="R8" s="50">
        <f>Q8+'Cash Flow Statement'!R77</f>
        <v>1354.3114926318055</v>
      </c>
      <c r="S8" s="50">
        <f>R8+'Cash Flow Statement'!S77</f>
        <v>1817.692472896058</v>
      </c>
      <c r="T8" s="55">
        <f t="shared" ref="T8:T13" si="0">S8</f>
        <v>1817.692472896058</v>
      </c>
      <c r="U8" s="50">
        <f>T8+'Cash Flow Statement'!U77</f>
        <v>2300.3571503509506</v>
      </c>
      <c r="V8" s="50">
        <f>U8+'Cash Flow Statement'!V77</f>
        <v>2929.6440008286468</v>
      </c>
      <c r="W8" s="50">
        <f>V8+'Cash Flow Statement'!W77</f>
        <v>3574.0568028791686</v>
      </c>
      <c r="X8" s="50">
        <f>W8+'Cash Flow Statement'!X77</f>
        <v>3983.8522460675354</v>
      </c>
      <c r="Y8" s="55">
        <f t="shared" ref="Y8:Y13" si="1">X8</f>
        <v>3983.8522460675354</v>
      </c>
    </row>
    <row r="9" spans="2:35" x14ac:dyDescent="0.2">
      <c r="B9" s="8" t="s">
        <v>131</v>
      </c>
      <c r="C9" s="50">
        <v>520</v>
      </c>
      <c r="D9" s="50">
        <v>501</v>
      </c>
      <c r="E9" s="55">
        <v>501</v>
      </c>
      <c r="F9" s="50">
        <v>483</v>
      </c>
      <c r="G9" s="50">
        <v>483</v>
      </c>
      <c r="H9" s="50">
        <v>484</v>
      </c>
      <c r="I9" s="50">
        <v>37</v>
      </c>
      <c r="J9" s="55">
        <v>37</v>
      </c>
      <c r="K9" s="50">
        <v>25</v>
      </c>
      <c r="L9" s="50">
        <v>13</v>
      </c>
      <c r="M9" s="50">
        <v>0</v>
      </c>
      <c r="N9" s="50">
        <v>63</v>
      </c>
      <c r="O9" s="57">
        <v>63</v>
      </c>
      <c r="P9" s="50">
        <f>O9</f>
        <v>63</v>
      </c>
      <c r="Q9" s="50">
        <f>P9</f>
        <v>63</v>
      </c>
      <c r="R9" s="50">
        <f>Q9</f>
        <v>63</v>
      </c>
      <c r="S9" s="50">
        <f>R9</f>
        <v>63</v>
      </c>
      <c r="T9" s="55">
        <f t="shared" si="0"/>
        <v>63</v>
      </c>
      <c r="U9" s="50">
        <f>S9</f>
        <v>63</v>
      </c>
      <c r="V9" s="50">
        <f>U9</f>
        <v>63</v>
      </c>
      <c r="W9" s="50">
        <f>V9</f>
        <v>63</v>
      </c>
      <c r="X9" s="50">
        <f>W9</f>
        <v>63</v>
      </c>
      <c r="Y9" s="55">
        <f t="shared" si="1"/>
        <v>63</v>
      </c>
    </row>
    <row r="10" spans="2:35" x14ac:dyDescent="0.2">
      <c r="B10" s="8" t="s">
        <v>132</v>
      </c>
      <c r="C10" s="50">
        <v>168</v>
      </c>
      <c r="D10" s="50">
        <v>137</v>
      </c>
      <c r="E10" s="55">
        <v>137</v>
      </c>
      <c r="F10" s="50">
        <v>126</v>
      </c>
      <c r="G10" s="50">
        <v>151</v>
      </c>
      <c r="H10" s="50">
        <v>97</v>
      </c>
      <c r="I10" s="50">
        <v>123</v>
      </c>
      <c r="J10" s="55">
        <v>123</v>
      </c>
      <c r="K10" s="50">
        <v>100</v>
      </c>
      <c r="L10" s="50">
        <v>226</v>
      </c>
      <c r="M10" s="50">
        <v>180</v>
      </c>
      <c r="N10" s="50">
        <v>196</v>
      </c>
      <c r="O10" s="57">
        <v>196</v>
      </c>
      <c r="P10" s="50">
        <f>P77</f>
        <v>246.20734925463867</v>
      </c>
      <c r="Q10" s="50">
        <f t="shared" ref="P10:S11" si="2">Q77</f>
        <v>178.35226647238267</v>
      </c>
      <c r="R10" s="50">
        <f t="shared" si="2"/>
        <v>252.92722671671547</v>
      </c>
      <c r="S10" s="50">
        <f t="shared" si="2"/>
        <v>245.92213359706088</v>
      </c>
      <c r="T10" s="55">
        <f t="shared" si="0"/>
        <v>245.92213359706088</v>
      </c>
      <c r="U10" s="50">
        <f t="shared" ref="U10:X11" si="3">U77</f>
        <v>289.27509458128588</v>
      </c>
      <c r="V10" s="50">
        <f t="shared" si="3"/>
        <v>202.11382636739796</v>
      </c>
      <c r="W10" s="50">
        <f t="shared" si="3"/>
        <v>296.13600513638931</v>
      </c>
      <c r="X10" s="50">
        <f t="shared" si="3"/>
        <v>291.66979917094369</v>
      </c>
      <c r="Y10" s="55">
        <f t="shared" si="1"/>
        <v>291.66979917094369</v>
      </c>
    </row>
    <row r="11" spans="2:35" x14ac:dyDescent="0.2">
      <c r="B11" s="8" t="s">
        <v>133</v>
      </c>
      <c r="C11" s="50">
        <v>298</v>
      </c>
      <c r="D11" s="50">
        <v>375</v>
      </c>
      <c r="E11" s="55">
        <v>375</v>
      </c>
      <c r="F11" s="50">
        <v>279</v>
      </c>
      <c r="G11" s="50">
        <v>280</v>
      </c>
      <c r="H11" s="50">
        <v>297</v>
      </c>
      <c r="I11" s="50">
        <v>302</v>
      </c>
      <c r="J11" s="55">
        <v>302</v>
      </c>
      <c r="K11" s="50">
        <v>219</v>
      </c>
      <c r="L11" s="50">
        <v>224</v>
      </c>
      <c r="M11" s="50">
        <v>263</v>
      </c>
      <c r="N11" s="50">
        <v>278</v>
      </c>
      <c r="O11" s="57">
        <v>278</v>
      </c>
      <c r="P11" s="50">
        <f t="shared" si="2"/>
        <v>827.0724827983463</v>
      </c>
      <c r="Q11" s="50">
        <f t="shared" si="2"/>
        <v>599.13017337051156</v>
      </c>
      <c r="R11" s="50">
        <f t="shared" si="2"/>
        <v>849.64624330340871</v>
      </c>
      <c r="S11" s="50">
        <f t="shared" si="2"/>
        <v>826.11437158533818</v>
      </c>
      <c r="T11" s="55">
        <f t="shared" si="0"/>
        <v>826.11437158533818</v>
      </c>
      <c r="U11" s="50">
        <f t="shared" si="3"/>
        <v>971.74788409596158</v>
      </c>
      <c r="V11" s="50">
        <f t="shared" si="3"/>
        <v>678.95123637706865</v>
      </c>
      <c r="W11" s="50">
        <f t="shared" si="3"/>
        <v>994.79541027357357</v>
      </c>
      <c r="X11" s="50">
        <f t="shared" si="3"/>
        <v>979.79229981520325</v>
      </c>
      <c r="Y11" s="55">
        <f t="shared" si="1"/>
        <v>979.79229981520325</v>
      </c>
    </row>
    <row r="12" spans="2:35" x14ac:dyDescent="0.2">
      <c r="B12" s="8" t="s">
        <v>134</v>
      </c>
      <c r="C12" s="50">
        <v>76</v>
      </c>
      <c r="D12" s="50">
        <v>89</v>
      </c>
      <c r="E12" s="55">
        <v>89</v>
      </c>
      <c r="F12" s="50">
        <v>14</v>
      </c>
      <c r="G12" s="50">
        <v>27</v>
      </c>
      <c r="H12" s="50">
        <v>50</v>
      </c>
      <c r="I12" s="50">
        <v>66</v>
      </c>
      <c r="J12" s="55">
        <v>66</v>
      </c>
      <c r="K12" s="50">
        <v>33</v>
      </c>
      <c r="L12" s="50">
        <v>80</v>
      </c>
      <c r="M12" s="50">
        <v>45</v>
      </c>
      <c r="N12" s="50">
        <v>56</v>
      </c>
      <c r="O12" s="57">
        <v>56</v>
      </c>
      <c r="P12" s="50">
        <f>O12</f>
        <v>56</v>
      </c>
      <c r="Q12" s="50">
        <f>P12</f>
        <v>56</v>
      </c>
      <c r="R12" s="50">
        <f>Q12</f>
        <v>56</v>
      </c>
      <c r="S12" s="50">
        <f>R12</f>
        <v>56</v>
      </c>
      <c r="T12" s="55">
        <f t="shared" si="0"/>
        <v>56</v>
      </c>
      <c r="U12" s="50">
        <f>S12</f>
        <v>56</v>
      </c>
      <c r="V12" s="50">
        <f>U12</f>
        <v>56</v>
      </c>
      <c r="W12" s="50">
        <f>V12</f>
        <v>56</v>
      </c>
      <c r="X12" s="50">
        <f>W12</f>
        <v>56</v>
      </c>
      <c r="Y12" s="55">
        <f t="shared" si="1"/>
        <v>56</v>
      </c>
    </row>
    <row r="13" spans="2:35" x14ac:dyDescent="0.2">
      <c r="B13" s="8" t="s">
        <v>135</v>
      </c>
      <c r="C13" s="50">
        <v>123</v>
      </c>
      <c r="D13" s="50">
        <v>52</v>
      </c>
      <c r="E13" s="55">
        <v>52</v>
      </c>
      <c r="F13" s="50">
        <f>383+215</f>
        <v>598</v>
      </c>
      <c r="G13" s="50">
        <v>380</v>
      </c>
      <c r="H13" s="50">
        <v>97</v>
      </c>
      <c r="I13" s="50">
        <v>184</v>
      </c>
      <c r="J13" s="55">
        <v>184</v>
      </c>
      <c r="K13" s="50">
        <v>174</v>
      </c>
      <c r="L13" s="50">
        <v>165</v>
      </c>
      <c r="M13" s="50">
        <v>63</v>
      </c>
      <c r="N13" s="50">
        <v>67</v>
      </c>
      <c r="O13" s="57">
        <v>67</v>
      </c>
      <c r="P13" s="50">
        <f>P80</f>
        <v>196.13645808918386</v>
      </c>
      <c r="Q13" s="50">
        <f t="shared" ref="Q13:X13" si="4">Q80</f>
        <v>142.08098151404943</v>
      </c>
      <c r="R13" s="50">
        <f t="shared" si="4"/>
        <v>201.48972219033757</v>
      </c>
      <c r="S13" s="50">
        <f t="shared" si="4"/>
        <v>195.90924639530778</v>
      </c>
      <c r="T13" s="55">
        <f t="shared" si="0"/>
        <v>195.90924639530778</v>
      </c>
      <c r="U13" s="50">
        <f t="shared" si="4"/>
        <v>210.66963584000001</v>
      </c>
      <c r="V13" s="50">
        <f t="shared" si="4"/>
        <v>147.1929211904</v>
      </c>
      <c r="W13" s="50">
        <f t="shared" si="4"/>
        <v>215.66621368320003</v>
      </c>
      <c r="X13" s="50">
        <f t="shared" si="4"/>
        <v>212.413621248</v>
      </c>
      <c r="Y13" s="55">
        <f t="shared" si="1"/>
        <v>212.413621248</v>
      </c>
    </row>
    <row r="14" spans="2:35" x14ac:dyDescent="0.2">
      <c r="B14" s="35" t="s">
        <v>136</v>
      </c>
      <c r="C14" s="51">
        <f t="shared" ref="C14:O14" si="5">SUM(C8:C13)</f>
        <v>1429</v>
      </c>
      <c r="D14" s="51">
        <f t="shared" si="5"/>
        <v>1554</v>
      </c>
      <c r="E14" s="56">
        <f t="shared" si="5"/>
        <v>1554</v>
      </c>
      <c r="F14" s="51">
        <f t="shared" si="5"/>
        <v>2097</v>
      </c>
      <c r="G14" s="51">
        <f t="shared" si="5"/>
        <v>1953</v>
      </c>
      <c r="H14" s="51">
        <f t="shared" si="5"/>
        <v>1673</v>
      </c>
      <c r="I14" s="51">
        <f t="shared" si="5"/>
        <v>1040</v>
      </c>
      <c r="J14" s="56">
        <f t="shared" si="5"/>
        <v>1040</v>
      </c>
      <c r="K14" s="51">
        <f t="shared" si="5"/>
        <v>846</v>
      </c>
      <c r="L14" s="51">
        <f t="shared" si="5"/>
        <v>830</v>
      </c>
      <c r="M14" s="51">
        <f t="shared" si="5"/>
        <v>1048</v>
      </c>
      <c r="N14" s="51">
        <f t="shared" si="5"/>
        <v>1349</v>
      </c>
      <c r="O14" s="58">
        <f t="shared" si="5"/>
        <v>1349</v>
      </c>
      <c r="P14" s="51">
        <f t="shared" ref="P14:Y14" si="6">SUM(P8:P13)</f>
        <v>1934.8192984207988</v>
      </c>
      <c r="Q14" s="51">
        <f t="shared" si="6"/>
        <v>2135.7890881991821</v>
      </c>
      <c r="R14" s="51">
        <f t="shared" si="6"/>
        <v>2777.374684842267</v>
      </c>
      <c r="S14" s="51">
        <f t="shared" si="6"/>
        <v>3204.6382244737651</v>
      </c>
      <c r="T14" s="56">
        <f t="shared" si="6"/>
        <v>3204.6382244737651</v>
      </c>
      <c r="U14" s="51">
        <f t="shared" si="6"/>
        <v>3891.0497648681981</v>
      </c>
      <c r="V14" s="51">
        <f t="shared" si="6"/>
        <v>4076.9019847635132</v>
      </c>
      <c r="W14" s="51">
        <f t="shared" si="6"/>
        <v>5199.6544319723316</v>
      </c>
      <c r="X14" s="51">
        <f t="shared" si="6"/>
        <v>5586.7279663016825</v>
      </c>
      <c r="Y14" s="56">
        <f t="shared" si="6"/>
        <v>5586.7279663016825</v>
      </c>
    </row>
    <row r="15" spans="2:35" x14ac:dyDescent="0.2">
      <c r="E15" s="22"/>
      <c r="J15" s="22"/>
      <c r="O15" s="44"/>
      <c r="P15" s="62"/>
      <c r="Q15" s="62"/>
      <c r="R15" s="62"/>
      <c r="S15" s="62"/>
      <c r="T15" s="63"/>
      <c r="U15" s="62"/>
      <c r="V15" s="62"/>
      <c r="W15" s="62"/>
      <c r="X15" s="62"/>
      <c r="Y15" s="63"/>
    </row>
    <row r="16" spans="2:35" x14ac:dyDescent="0.2">
      <c r="B16" s="9" t="s">
        <v>137</v>
      </c>
      <c r="E16" s="22"/>
      <c r="J16" s="22"/>
      <c r="O16" s="30"/>
      <c r="P16" s="62"/>
      <c r="Q16" s="62"/>
      <c r="R16" s="62"/>
      <c r="S16" s="62"/>
      <c r="T16" s="63"/>
      <c r="U16" s="62"/>
      <c r="V16" s="62"/>
      <c r="W16" s="62"/>
      <c r="X16" s="62"/>
      <c r="Y16" s="63"/>
    </row>
    <row r="17" spans="2:25" hidden="1" outlineLevel="1" x14ac:dyDescent="0.2">
      <c r="B17" s="201" t="s">
        <v>138</v>
      </c>
      <c r="C17" s="244">
        <v>5</v>
      </c>
      <c r="D17" s="244">
        <v>6</v>
      </c>
      <c r="E17" s="245">
        <v>6</v>
      </c>
      <c r="F17" s="244">
        <v>59</v>
      </c>
      <c r="G17" s="244">
        <v>5</v>
      </c>
      <c r="H17" s="244">
        <v>6</v>
      </c>
      <c r="I17" s="244">
        <v>5</v>
      </c>
      <c r="J17" s="245">
        <v>5</v>
      </c>
      <c r="K17" s="244">
        <v>5</v>
      </c>
      <c r="L17" s="244">
        <v>4</v>
      </c>
      <c r="M17" s="244">
        <v>5</v>
      </c>
      <c r="N17" s="244">
        <v>5</v>
      </c>
      <c r="O17" s="246">
        <v>5</v>
      </c>
      <c r="P17" s="50">
        <f>O17</f>
        <v>5</v>
      </c>
      <c r="Q17" s="50">
        <f>P17</f>
        <v>5</v>
      </c>
      <c r="R17" s="50">
        <f>Q17</f>
        <v>5</v>
      </c>
      <c r="S17" s="50">
        <f>R17</f>
        <v>5</v>
      </c>
      <c r="T17" s="55">
        <f>S17</f>
        <v>5</v>
      </c>
      <c r="U17" s="50">
        <f>S17</f>
        <v>5</v>
      </c>
      <c r="V17" s="50">
        <f>U17</f>
        <v>5</v>
      </c>
      <c r="W17" s="50">
        <f>V17</f>
        <v>5</v>
      </c>
      <c r="X17" s="50">
        <f>W17</f>
        <v>5</v>
      </c>
      <c r="Y17" s="55">
        <f>X17</f>
        <v>5</v>
      </c>
    </row>
    <row r="18" spans="2:25" hidden="1" outlineLevel="1" x14ac:dyDescent="0.2">
      <c r="B18" s="201" t="s">
        <v>139</v>
      </c>
      <c r="C18" s="244">
        <v>3368</v>
      </c>
      <c r="D18" s="244">
        <v>3405</v>
      </c>
      <c r="E18" s="245">
        <v>3405</v>
      </c>
      <c r="F18" s="244">
        <v>2964</v>
      </c>
      <c r="G18" s="244">
        <v>2934</v>
      </c>
      <c r="H18" s="244">
        <v>2886</v>
      </c>
      <c r="I18" s="244">
        <v>2810</v>
      </c>
      <c r="J18" s="245">
        <v>2810</v>
      </c>
      <c r="K18" s="244">
        <v>2785</v>
      </c>
      <c r="L18" s="244">
        <v>2759</v>
      </c>
      <c r="M18" s="244">
        <v>2719</v>
      </c>
      <c r="N18" s="244">
        <v>7093</v>
      </c>
      <c r="O18" s="246">
        <v>7093</v>
      </c>
      <c r="P18" s="50">
        <f>P67</f>
        <v>7060.9526699947764</v>
      </c>
      <c r="Q18" s="50">
        <f t="shared" ref="Q18:X18" si="7">Q67</f>
        <v>7037.737628046907</v>
      </c>
      <c r="R18" s="50">
        <f t="shared" si="7"/>
        <v>7004.8156120045933</v>
      </c>
      <c r="S18" s="50">
        <f t="shared" si="7"/>
        <v>6972.8054068062793</v>
      </c>
      <c r="T18" s="55">
        <f>S18</f>
        <v>6972.8054068062793</v>
      </c>
      <c r="U18" s="50">
        <f t="shared" si="7"/>
        <v>6935.152207393653</v>
      </c>
      <c r="V18" s="50">
        <f t="shared" si="7"/>
        <v>6908.8442660920491</v>
      </c>
      <c r="W18" s="50">
        <f t="shared" si="7"/>
        <v>6870.298023212762</v>
      </c>
      <c r="X18" s="50">
        <f t="shared" si="7"/>
        <v>6832.3331195050287</v>
      </c>
      <c r="Y18" s="55">
        <f>X18</f>
        <v>6832.3331195050287</v>
      </c>
    </row>
    <row r="19" spans="2:25" hidden="1" outlineLevel="1" x14ac:dyDescent="0.2">
      <c r="B19" s="201" t="s">
        <v>140</v>
      </c>
      <c r="C19" s="244">
        <v>279</v>
      </c>
      <c r="D19" s="244">
        <v>255</v>
      </c>
      <c r="E19" s="245">
        <v>255</v>
      </c>
      <c r="F19" s="244">
        <v>101</v>
      </c>
      <c r="G19" s="244">
        <v>96</v>
      </c>
      <c r="H19" s="244">
        <v>143</v>
      </c>
      <c r="I19" s="244">
        <v>169</v>
      </c>
      <c r="J19" s="245">
        <v>169</v>
      </c>
      <c r="K19" s="244">
        <v>96</v>
      </c>
      <c r="L19" s="244">
        <v>89</v>
      </c>
      <c r="M19" s="244">
        <v>138</v>
      </c>
      <c r="N19" s="244">
        <v>258</v>
      </c>
      <c r="O19" s="246">
        <v>258</v>
      </c>
      <c r="P19" s="50">
        <f t="shared" ref="P19:S20" si="8">O19</f>
        <v>258</v>
      </c>
      <c r="Q19" s="50">
        <f t="shared" si="8"/>
        <v>258</v>
      </c>
      <c r="R19" s="50">
        <f t="shared" si="8"/>
        <v>258</v>
      </c>
      <c r="S19" s="50">
        <f t="shared" si="8"/>
        <v>258</v>
      </c>
      <c r="T19" s="55">
        <f>S19</f>
        <v>258</v>
      </c>
      <c r="U19" s="50">
        <f>S19</f>
        <v>258</v>
      </c>
      <c r="V19" s="50">
        <f t="shared" ref="V19:X20" si="9">U19</f>
        <v>258</v>
      </c>
      <c r="W19" s="50">
        <f t="shared" si="9"/>
        <v>258</v>
      </c>
      <c r="X19" s="50">
        <f t="shared" si="9"/>
        <v>258</v>
      </c>
      <c r="Y19" s="55">
        <f>X19</f>
        <v>258</v>
      </c>
    </row>
    <row r="20" spans="2:25" hidden="1" outlineLevel="1" x14ac:dyDescent="0.2">
      <c r="B20" s="201" t="s">
        <v>141</v>
      </c>
      <c r="C20" s="244">
        <v>194</v>
      </c>
      <c r="D20" s="244">
        <v>173</v>
      </c>
      <c r="E20" s="245">
        <v>173</v>
      </c>
      <c r="F20" s="244">
        <v>235</v>
      </c>
      <c r="G20" s="244">
        <v>215</v>
      </c>
      <c r="H20" s="244">
        <v>193</v>
      </c>
      <c r="I20" s="244">
        <v>170</v>
      </c>
      <c r="J20" s="245">
        <v>170</v>
      </c>
      <c r="K20" s="244">
        <v>252</v>
      </c>
      <c r="L20" s="244">
        <v>237</v>
      </c>
      <c r="M20" s="244">
        <v>213</v>
      </c>
      <c r="N20" s="244">
        <v>190</v>
      </c>
      <c r="O20" s="246">
        <v>190</v>
      </c>
      <c r="P20" s="50">
        <f t="shared" si="8"/>
        <v>190</v>
      </c>
      <c r="Q20" s="50">
        <f t="shared" si="8"/>
        <v>190</v>
      </c>
      <c r="R20" s="50">
        <f t="shared" si="8"/>
        <v>190</v>
      </c>
      <c r="S20" s="50">
        <f t="shared" si="8"/>
        <v>190</v>
      </c>
      <c r="T20" s="55">
        <f>S20</f>
        <v>190</v>
      </c>
      <c r="U20" s="50">
        <f>S20</f>
        <v>190</v>
      </c>
      <c r="V20" s="50">
        <f t="shared" si="9"/>
        <v>190</v>
      </c>
      <c r="W20" s="50">
        <f t="shared" si="9"/>
        <v>190</v>
      </c>
      <c r="X20" s="50">
        <f t="shared" si="9"/>
        <v>190</v>
      </c>
      <c r="Y20" s="55">
        <f>X20</f>
        <v>190</v>
      </c>
    </row>
    <row r="21" spans="2:25" collapsed="1" x14ac:dyDescent="0.2">
      <c r="B21" s="8" t="s">
        <v>142</v>
      </c>
      <c r="C21" s="50">
        <v>3846</v>
      </c>
      <c r="D21" s="50">
        <v>3839</v>
      </c>
      <c r="E21" s="55">
        <v>3839</v>
      </c>
      <c r="F21" s="50">
        <v>3359</v>
      </c>
      <c r="G21" s="50">
        <v>3250</v>
      </c>
      <c r="H21" s="50">
        <v>3228</v>
      </c>
      <c r="I21" s="50">
        <v>3154</v>
      </c>
      <c r="J21" s="55">
        <v>3154</v>
      </c>
      <c r="K21" s="50">
        <v>3138</v>
      </c>
      <c r="L21" s="50">
        <v>3089</v>
      </c>
      <c r="M21" s="50">
        <v>3075</v>
      </c>
      <c r="N21" s="50">
        <v>7546</v>
      </c>
      <c r="O21" s="57">
        <v>7546</v>
      </c>
      <c r="P21" s="50">
        <f t="shared" ref="P21:Y21" si="10">P18+P19+P20</f>
        <v>7508.9526699947764</v>
      </c>
      <c r="Q21" s="50">
        <f t="shared" si="10"/>
        <v>7485.737628046907</v>
      </c>
      <c r="R21" s="50">
        <f t="shared" si="10"/>
        <v>7452.8156120045933</v>
      </c>
      <c r="S21" s="50">
        <f t="shared" si="10"/>
        <v>7420.8054068062793</v>
      </c>
      <c r="T21" s="55">
        <f t="shared" si="10"/>
        <v>7420.8054068062793</v>
      </c>
      <c r="U21" s="50">
        <f t="shared" si="10"/>
        <v>7383.152207393653</v>
      </c>
      <c r="V21" s="50">
        <f t="shared" si="10"/>
        <v>7356.8442660920491</v>
      </c>
      <c r="W21" s="50">
        <f t="shared" si="10"/>
        <v>7318.298023212762</v>
      </c>
      <c r="X21" s="50">
        <f t="shared" si="10"/>
        <v>7280.3331195050287</v>
      </c>
      <c r="Y21" s="55">
        <f t="shared" si="10"/>
        <v>7280.3331195050287</v>
      </c>
    </row>
    <row r="22" spans="2:25" x14ac:dyDescent="0.2">
      <c r="B22" s="8" t="s">
        <v>143</v>
      </c>
      <c r="C22" s="50">
        <v>1456</v>
      </c>
      <c r="D22" s="50">
        <v>1575</v>
      </c>
      <c r="E22" s="55">
        <v>1575</v>
      </c>
      <c r="F22" s="50">
        <v>1642</v>
      </c>
      <c r="G22" s="50">
        <v>1659</v>
      </c>
      <c r="H22" s="50">
        <v>1737</v>
      </c>
      <c r="I22" s="50">
        <v>1724</v>
      </c>
      <c r="J22" s="55">
        <v>1724</v>
      </c>
      <c r="K22" s="50">
        <v>1717</v>
      </c>
      <c r="L22" s="50">
        <v>1790</v>
      </c>
      <c r="M22" s="50">
        <v>1870</v>
      </c>
      <c r="N22" s="50">
        <v>1900</v>
      </c>
      <c r="O22" s="57">
        <v>1900</v>
      </c>
      <c r="P22" s="50">
        <f t="shared" ref="P22:T24" si="11">O22</f>
        <v>1900</v>
      </c>
      <c r="Q22" s="50">
        <f t="shared" si="11"/>
        <v>1900</v>
      </c>
      <c r="R22" s="50">
        <f t="shared" si="11"/>
        <v>1900</v>
      </c>
      <c r="S22" s="50">
        <f t="shared" si="11"/>
        <v>1900</v>
      </c>
      <c r="T22" s="55">
        <f t="shared" si="11"/>
        <v>1900</v>
      </c>
      <c r="U22" s="50">
        <f>S22</f>
        <v>1900</v>
      </c>
      <c r="V22" s="50">
        <f t="shared" ref="V22:Y24" si="12">U22</f>
        <v>1900</v>
      </c>
      <c r="W22" s="50">
        <f t="shared" si="12"/>
        <v>1900</v>
      </c>
      <c r="X22" s="50">
        <f t="shared" si="12"/>
        <v>1900</v>
      </c>
      <c r="Y22" s="55">
        <f t="shared" si="12"/>
        <v>1900</v>
      </c>
    </row>
    <row r="23" spans="2:25" x14ac:dyDescent="0.2">
      <c r="B23" s="8" t="s">
        <v>134</v>
      </c>
      <c r="C23" s="50">
        <v>1</v>
      </c>
      <c r="D23" s="50">
        <v>6</v>
      </c>
      <c r="E23" s="55">
        <v>6</v>
      </c>
      <c r="F23" s="50">
        <v>4</v>
      </c>
      <c r="G23" s="50">
        <v>13</v>
      </c>
      <c r="H23" s="50">
        <v>22</v>
      </c>
      <c r="I23" s="50">
        <v>5</v>
      </c>
      <c r="J23" s="55">
        <v>5</v>
      </c>
      <c r="K23" s="50">
        <v>5</v>
      </c>
      <c r="L23" s="50">
        <v>0</v>
      </c>
      <c r="M23" s="50">
        <v>1</v>
      </c>
      <c r="N23" s="50">
        <v>4</v>
      </c>
      <c r="O23" s="57">
        <v>4</v>
      </c>
      <c r="P23" s="50">
        <f t="shared" si="11"/>
        <v>4</v>
      </c>
      <c r="Q23" s="50">
        <f t="shared" si="11"/>
        <v>4</v>
      </c>
      <c r="R23" s="50">
        <f t="shared" si="11"/>
        <v>4</v>
      </c>
      <c r="S23" s="50">
        <f t="shared" si="11"/>
        <v>4</v>
      </c>
      <c r="T23" s="55">
        <f t="shared" si="11"/>
        <v>4</v>
      </c>
      <c r="U23" s="50">
        <f>S23</f>
        <v>4</v>
      </c>
      <c r="V23" s="50">
        <f t="shared" si="12"/>
        <v>4</v>
      </c>
      <c r="W23" s="50">
        <f t="shared" si="12"/>
        <v>4</v>
      </c>
      <c r="X23" s="50">
        <f t="shared" si="12"/>
        <v>4</v>
      </c>
      <c r="Y23" s="55">
        <f t="shared" si="12"/>
        <v>4</v>
      </c>
    </row>
    <row r="24" spans="2:25" x14ac:dyDescent="0.2">
      <c r="B24" s="8" t="s">
        <v>144</v>
      </c>
      <c r="C24" s="50">
        <v>160</v>
      </c>
      <c r="D24" s="50">
        <v>147</v>
      </c>
      <c r="E24" s="55">
        <v>147</v>
      </c>
      <c r="F24" s="50">
        <v>163</v>
      </c>
      <c r="G24" s="50">
        <v>207</v>
      </c>
      <c r="H24" s="50">
        <v>188</v>
      </c>
      <c r="I24" s="50">
        <v>183</v>
      </c>
      <c r="J24" s="55">
        <v>183</v>
      </c>
      <c r="K24" s="50">
        <v>159</v>
      </c>
      <c r="L24" s="50">
        <v>118</v>
      </c>
      <c r="M24" s="50">
        <v>103</v>
      </c>
      <c r="N24" s="50">
        <v>106</v>
      </c>
      <c r="O24" s="57">
        <v>106</v>
      </c>
      <c r="P24" s="50">
        <f t="shared" si="11"/>
        <v>106</v>
      </c>
      <c r="Q24" s="50">
        <f t="shared" si="11"/>
        <v>106</v>
      </c>
      <c r="R24" s="50">
        <f t="shared" si="11"/>
        <v>106</v>
      </c>
      <c r="S24" s="50">
        <f t="shared" si="11"/>
        <v>106</v>
      </c>
      <c r="T24" s="55">
        <f t="shared" si="11"/>
        <v>106</v>
      </c>
      <c r="U24" s="50">
        <f>S24</f>
        <v>106</v>
      </c>
      <c r="V24" s="50">
        <f t="shared" si="12"/>
        <v>106</v>
      </c>
      <c r="W24" s="50">
        <f t="shared" si="12"/>
        <v>106</v>
      </c>
      <c r="X24" s="50">
        <f t="shared" si="12"/>
        <v>106</v>
      </c>
      <c r="Y24" s="55">
        <f t="shared" si="12"/>
        <v>106</v>
      </c>
    </row>
    <row r="25" spans="2:25" x14ac:dyDescent="0.2">
      <c r="B25" s="35" t="s">
        <v>145</v>
      </c>
      <c r="C25" s="51">
        <f t="shared" ref="C25:O25" si="13">SUM(C21:C24)</f>
        <v>5463</v>
      </c>
      <c r="D25" s="51">
        <f t="shared" si="13"/>
        <v>5567</v>
      </c>
      <c r="E25" s="56">
        <f t="shared" si="13"/>
        <v>5567</v>
      </c>
      <c r="F25" s="51">
        <f t="shared" si="13"/>
        <v>5168</v>
      </c>
      <c r="G25" s="51">
        <f t="shared" si="13"/>
        <v>5129</v>
      </c>
      <c r="H25" s="51">
        <f t="shared" si="13"/>
        <v>5175</v>
      </c>
      <c r="I25" s="51">
        <f t="shared" si="13"/>
        <v>5066</v>
      </c>
      <c r="J25" s="56">
        <f t="shared" si="13"/>
        <v>5066</v>
      </c>
      <c r="K25" s="51">
        <f t="shared" si="13"/>
        <v>5019</v>
      </c>
      <c r="L25" s="51">
        <f t="shared" si="13"/>
        <v>4997</v>
      </c>
      <c r="M25" s="51">
        <f t="shared" si="13"/>
        <v>5049</v>
      </c>
      <c r="N25" s="51">
        <f t="shared" si="13"/>
        <v>9556</v>
      </c>
      <c r="O25" s="58">
        <f t="shared" si="13"/>
        <v>9556</v>
      </c>
      <c r="P25" s="51">
        <f t="shared" ref="P25:Y25" si="14">SUM(P21:P24)</f>
        <v>9518.9526699947764</v>
      </c>
      <c r="Q25" s="51">
        <f t="shared" si="14"/>
        <v>9495.737628046907</v>
      </c>
      <c r="R25" s="51">
        <f t="shared" si="14"/>
        <v>9462.8156120045933</v>
      </c>
      <c r="S25" s="51">
        <f t="shared" si="14"/>
        <v>9430.8054068062793</v>
      </c>
      <c r="T25" s="56">
        <f t="shared" si="14"/>
        <v>9430.8054068062793</v>
      </c>
      <c r="U25" s="51">
        <f t="shared" si="14"/>
        <v>9393.152207393654</v>
      </c>
      <c r="V25" s="51">
        <f t="shared" si="14"/>
        <v>9366.8442660920482</v>
      </c>
      <c r="W25" s="51">
        <f t="shared" si="14"/>
        <v>9328.2980232127629</v>
      </c>
      <c r="X25" s="51">
        <f t="shared" si="14"/>
        <v>9290.3331195050287</v>
      </c>
      <c r="Y25" s="56">
        <f t="shared" si="14"/>
        <v>9290.3331195050287</v>
      </c>
    </row>
    <row r="26" spans="2:25" x14ac:dyDescent="0.2">
      <c r="E26" s="22"/>
      <c r="J26" s="22"/>
      <c r="O26" s="30"/>
      <c r="P26" s="62"/>
      <c r="Q26" s="62"/>
      <c r="R26" s="62"/>
      <c r="S26" s="62"/>
      <c r="T26" s="63"/>
      <c r="U26" s="62"/>
      <c r="V26" s="62"/>
      <c r="W26" s="62"/>
      <c r="X26" s="62"/>
      <c r="Y26" s="63"/>
    </row>
    <row r="27" spans="2:25" x14ac:dyDescent="0.2">
      <c r="B27" s="35" t="s">
        <v>146</v>
      </c>
      <c r="C27" s="51">
        <f t="shared" ref="C27:O27" si="15">C14+C25</f>
        <v>6892</v>
      </c>
      <c r="D27" s="51">
        <f t="shared" si="15"/>
        <v>7121</v>
      </c>
      <c r="E27" s="56">
        <f t="shared" si="15"/>
        <v>7121</v>
      </c>
      <c r="F27" s="51">
        <f t="shared" si="15"/>
        <v>7265</v>
      </c>
      <c r="G27" s="51">
        <f t="shared" si="15"/>
        <v>7082</v>
      </c>
      <c r="H27" s="51">
        <f t="shared" si="15"/>
        <v>6848</v>
      </c>
      <c r="I27" s="51">
        <f t="shared" si="15"/>
        <v>6106</v>
      </c>
      <c r="J27" s="56">
        <f t="shared" si="15"/>
        <v>6106</v>
      </c>
      <c r="K27" s="51">
        <f t="shared" si="15"/>
        <v>5865</v>
      </c>
      <c r="L27" s="51">
        <f t="shared" si="15"/>
        <v>5827</v>
      </c>
      <c r="M27" s="51">
        <f t="shared" si="15"/>
        <v>6097</v>
      </c>
      <c r="N27" s="51">
        <f t="shared" si="15"/>
        <v>10905</v>
      </c>
      <c r="O27" s="58">
        <f t="shared" si="15"/>
        <v>10905</v>
      </c>
      <c r="P27" s="51">
        <f t="shared" ref="P27:Y27" si="16">P14+P25</f>
        <v>11453.771968415575</v>
      </c>
      <c r="Q27" s="51">
        <f t="shared" si="16"/>
        <v>11631.52671624609</v>
      </c>
      <c r="R27" s="51">
        <f t="shared" si="16"/>
        <v>12240.19029684686</v>
      </c>
      <c r="S27" s="51">
        <f t="shared" si="16"/>
        <v>12635.443631280044</v>
      </c>
      <c r="T27" s="56">
        <f t="shared" si="16"/>
        <v>12635.443631280044</v>
      </c>
      <c r="U27" s="51">
        <f t="shared" si="16"/>
        <v>13284.201972261852</v>
      </c>
      <c r="V27" s="51">
        <f t="shared" si="16"/>
        <v>13443.746250855562</v>
      </c>
      <c r="W27" s="51">
        <f t="shared" si="16"/>
        <v>14527.952455185095</v>
      </c>
      <c r="X27" s="51">
        <f t="shared" si="16"/>
        <v>14877.061085806712</v>
      </c>
      <c r="Y27" s="56">
        <f t="shared" si="16"/>
        <v>14877.061085806712</v>
      </c>
    </row>
    <row r="28" spans="2:25" x14ac:dyDescent="0.2">
      <c r="E28" s="22"/>
      <c r="J28" s="22"/>
      <c r="O28" s="44"/>
      <c r="P28" s="62"/>
      <c r="Q28" s="62"/>
      <c r="R28" s="62"/>
      <c r="S28" s="62"/>
      <c r="T28" s="63"/>
      <c r="U28" s="62"/>
      <c r="V28" s="62"/>
      <c r="W28" s="62"/>
      <c r="X28" s="62"/>
      <c r="Y28" s="63"/>
    </row>
    <row r="29" spans="2:25" x14ac:dyDescent="0.2">
      <c r="B29" s="9" t="s">
        <v>147</v>
      </c>
      <c r="E29" s="22"/>
      <c r="J29" s="22"/>
      <c r="O29" s="30"/>
      <c r="P29" s="62"/>
      <c r="Q29" s="62"/>
      <c r="R29" s="62"/>
      <c r="S29" s="62"/>
      <c r="T29" s="63"/>
      <c r="U29" s="62"/>
      <c r="V29" s="62"/>
      <c r="W29" s="62"/>
      <c r="X29" s="62"/>
      <c r="Y29" s="63"/>
    </row>
    <row r="30" spans="2:25" x14ac:dyDescent="0.2">
      <c r="B30" s="8" t="s">
        <v>148</v>
      </c>
      <c r="C30" s="50">
        <v>12</v>
      </c>
      <c r="D30" s="50">
        <v>9</v>
      </c>
      <c r="E30" s="55">
        <v>9</v>
      </c>
      <c r="F30" s="50">
        <v>9</v>
      </c>
      <c r="G30" s="50">
        <v>9</v>
      </c>
      <c r="H30" s="50">
        <v>9</v>
      </c>
      <c r="I30" s="50">
        <v>17</v>
      </c>
      <c r="J30" s="55">
        <v>17</v>
      </c>
      <c r="K30" s="50">
        <v>17</v>
      </c>
      <c r="L30" s="50">
        <v>17</v>
      </c>
      <c r="M30" s="50">
        <v>17</v>
      </c>
      <c r="N30" s="50">
        <v>29</v>
      </c>
      <c r="O30" s="57">
        <v>29</v>
      </c>
      <c r="P30" s="50">
        <f>O30</f>
        <v>29</v>
      </c>
      <c r="Q30" s="50">
        <f>P30</f>
        <v>29</v>
      </c>
      <c r="R30" s="50">
        <f>Q30</f>
        <v>29</v>
      </c>
      <c r="S30" s="50">
        <f>R30</f>
        <v>29</v>
      </c>
      <c r="T30" s="55">
        <f>S30</f>
        <v>29</v>
      </c>
      <c r="U30" s="50">
        <f>S30</f>
        <v>29</v>
      </c>
      <c r="V30" s="50">
        <f>U30</f>
        <v>29</v>
      </c>
      <c r="W30" s="50">
        <f>V30</f>
        <v>29</v>
      </c>
      <c r="X30" s="50">
        <f>W30</f>
        <v>29</v>
      </c>
      <c r="Y30" s="55">
        <f>X30</f>
        <v>29</v>
      </c>
    </row>
    <row r="31" spans="2:25" x14ac:dyDescent="0.2">
      <c r="B31" s="8" t="s">
        <v>149</v>
      </c>
      <c r="C31" s="50">
        <v>69</v>
      </c>
      <c r="D31" s="50">
        <v>32</v>
      </c>
      <c r="E31" s="55">
        <v>32</v>
      </c>
      <c r="F31" s="50">
        <v>61</v>
      </c>
      <c r="G31" s="50">
        <v>31</v>
      </c>
      <c r="H31" s="50">
        <v>54</v>
      </c>
      <c r="I31" s="50">
        <v>18</v>
      </c>
      <c r="J31" s="55">
        <v>18</v>
      </c>
      <c r="K31" s="50">
        <v>54</v>
      </c>
      <c r="L31" s="50">
        <v>30</v>
      </c>
      <c r="M31" s="50">
        <v>53</v>
      </c>
      <c r="N31" s="50">
        <v>60</v>
      </c>
      <c r="O31" s="57">
        <v>60</v>
      </c>
      <c r="P31" s="50">
        <f>ABS('Income Statement'!P29)</f>
        <v>149.71428622436864</v>
      </c>
      <c r="Q31" s="50">
        <f>ABS('Income Statement'!Q29)</f>
        <v>148.71138889621872</v>
      </c>
      <c r="R31" s="50">
        <f>ABS('Income Statement'!R29)</f>
        <v>147.70849156806881</v>
      </c>
      <c r="S31" s="50">
        <f>ABS('Income Statement'!S29)</f>
        <v>146.70559423991887</v>
      </c>
      <c r="T31" s="55">
        <f>S31</f>
        <v>146.70559423991887</v>
      </c>
      <c r="U31" s="50">
        <f>ABS('Income Statement'!U29)</f>
        <v>145.70269691176895</v>
      </c>
      <c r="V31" s="50">
        <f>ABS('Income Statement'!V29)</f>
        <v>144.69979958361904</v>
      </c>
      <c r="W31" s="50">
        <f>ABS('Income Statement'!W29)</f>
        <v>143.69690225546913</v>
      </c>
      <c r="X31" s="50">
        <f>ABS('Income Statement'!X29)</f>
        <v>142.69400492731921</v>
      </c>
      <c r="Y31" s="55">
        <f>X31</f>
        <v>142.69400492731921</v>
      </c>
    </row>
    <row r="32" spans="2:25" x14ac:dyDescent="0.2">
      <c r="B32" s="8" t="s">
        <v>150</v>
      </c>
      <c r="C32" s="50">
        <v>289</v>
      </c>
      <c r="D32" s="50">
        <v>344</v>
      </c>
      <c r="E32" s="55">
        <v>344</v>
      </c>
      <c r="F32" s="50">
        <v>177</v>
      </c>
      <c r="G32" s="50">
        <v>212</v>
      </c>
      <c r="H32" s="50">
        <v>210</v>
      </c>
      <c r="I32" s="50">
        <v>266</v>
      </c>
      <c r="J32" s="55">
        <v>266</v>
      </c>
      <c r="K32" s="50">
        <v>203</v>
      </c>
      <c r="L32" s="50">
        <v>226</v>
      </c>
      <c r="M32" s="50">
        <v>192</v>
      </c>
      <c r="N32" s="50">
        <v>281</v>
      </c>
      <c r="O32" s="57">
        <v>281</v>
      </c>
      <c r="P32" s="50">
        <f>P79</f>
        <v>334.14862844621808</v>
      </c>
      <c r="Q32" s="50">
        <f t="shared" ref="Q32:X32" si="17">Q79</f>
        <v>242.05680863077748</v>
      </c>
      <c r="R32" s="50">
        <f t="shared" si="17"/>
        <v>343.26873734661194</v>
      </c>
      <c r="S32" s="50">
        <f t="shared" si="17"/>
        <v>333.76153837323881</v>
      </c>
      <c r="T32" s="55">
        <f>S32</f>
        <v>333.76153837323881</v>
      </c>
      <c r="U32" s="50">
        <f t="shared" si="17"/>
        <v>392.59947516032798</v>
      </c>
      <c r="V32" s="50">
        <f t="shared" si="17"/>
        <v>274.30561303364783</v>
      </c>
      <c r="W32" s="50">
        <f t="shared" si="17"/>
        <v>401.91099189132899</v>
      </c>
      <c r="X32" s="50">
        <f t="shared" si="17"/>
        <v>395.84952946045536</v>
      </c>
      <c r="Y32" s="55">
        <f>X32</f>
        <v>395.84952946045536</v>
      </c>
    </row>
    <row r="33" spans="2:25" x14ac:dyDescent="0.2">
      <c r="B33" s="8" t="s">
        <v>134</v>
      </c>
      <c r="C33" s="50">
        <v>69</v>
      </c>
      <c r="D33" s="50">
        <v>32</v>
      </c>
      <c r="E33" s="55">
        <v>32</v>
      </c>
      <c r="F33" s="50">
        <v>98</v>
      </c>
      <c r="G33" s="50">
        <v>63</v>
      </c>
      <c r="H33" s="50">
        <v>6</v>
      </c>
      <c r="I33" s="50">
        <v>0</v>
      </c>
      <c r="J33" s="55">
        <v>0</v>
      </c>
      <c r="K33" s="50">
        <v>92</v>
      </c>
      <c r="L33" s="50">
        <v>32</v>
      </c>
      <c r="M33" s="50">
        <v>44</v>
      </c>
      <c r="N33" s="50">
        <v>101</v>
      </c>
      <c r="O33" s="57">
        <v>101</v>
      </c>
      <c r="P33" s="50">
        <f t="shared" ref="P33:S34" si="18">O33</f>
        <v>101</v>
      </c>
      <c r="Q33" s="50">
        <f t="shared" si="18"/>
        <v>101</v>
      </c>
      <c r="R33" s="50">
        <f t="shared" si="18"/>
        <v>101</v>
      </c>
      <c r="S33" s="50">
        <f t="shared" si="18"/>
        <v>101</v>
      </c>
      <c r="T33" s="55">
        <f>S33</f>
        <v>101</v>
      </c>
      <c r="U33" s="50">
        <f>S33</f>
        <v>101</v>
      </c>
      <c r="V33" s="50">
        <f t="shared" ref="V33:X34" si="19">U33</f>
        <v>101</v>
      </c>
      <c r="W33" s="50">
        <f t="shared" si="19"/>
        <v>101</v>
      </c>
      <c r="X33" s="50">
        <f t="shared" si="19"/>
        <v>101</v>
      </c>
      <c r="Y33" s="55">
        <f>X33</f>
        <v>101</v>
      </c>
    </row>
    <row r="34" spans="2:25" x14ac:dyDescent="0.2">
      <c r="B34" s="8" t="s">
        <v>151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0">
        <v>501</v>
      </c>
      <c r="O34" s="57">
        <v>501</v>
      </c>
      <c r="P34" s="50">
        <f t="shared" si="18"/>
        <v>501</v>
      </c>
      <c r="Q34" s="50">
        <f t="shared" si="18"/>
        <v>501</v>
      </c>
      <c r="R34" s="50">
        <f t="shared" si="18"/>
        <v>501</v>
      </c>
      <c r="S34" s="50">
        <f t="shared" si="18"/>
        <v>501</v>
      </c>
      <c r="T34" s="55">
        <f>S34</f>
        <v>501</v>
      </c>
      <c r="U34" s="50">
        <f>S34</f>
        <v>501</v>
      </c>
      <c r="V34" s="50">
        <f t="shared" si="19"/>
        <v>501</v>
      </c>
      <c r="W34" s="50">
        <f t="shared" si="19"/>
        <v>501</v>
      </c>
      <c r="X34" s="50">
        <f t="shared" si="19"/>
        <v>501</v>
      </c>
      <c r="Y34" s="55">
        <f>X34</f>
        <v>501</v>
      </c>
    </row>
    <row r="35" spans="2:25" x14ac:dyDescent="0.2">
      <c r="B35" s="8" t="s">
        <v>152</v>
      </c>
      <c r="C35" s="50">
        <v>85</v>
      </c>
      <c r="D35" s="50">
        <v>69</v>
      </c>
      <c r="E35" s="55">
        <v>69</v>
      </c>
      <c r="F35" s="50">
        <f>98+17</f>
        <v>115</v>
      </c>
      <c r="G35" s="50">
        <v>118</v>
      </c>
      <c r="H35" s="50">
        <v>129</v>
      </c>
      <c r="I35" s="50">
        <v>154</v>
      </c>
      <c r="J35" s="55">
        <v>154</v>
      </c>
      <c r="K35" s="50">
        <v>156</v>
      </c>
      <c r="L35" s="50">
        <f>70+77</f>
        <v>147</v>
      </c>
      <c r="M35" s="50">
        <v>151</v>
      </c>
      <c r="N35" s="50">
        <v>78</v>
      </c>
      <c r="O35" s="57">
        <v>78</v>
      </c>
      <c r="P35" s="50">
        <f>P81</f>
        <v>206.96991010039682</v>
      </c>
      <c r="Q35" s="50">
        <f t="shared" ref="Q35:X35" si="20">Q81</f>
        <v>149.92871930810401</v>
      </c>
      <c r="R35" s="50">
        <f t="shared" si="20"/>
        <v>212.6188577797501</v>
      </c>
      <c r="S35" s="50">
        <f t="shared" si="20"/>
        <v>206.730148536874</v>
      </c>
      <c r="T35" s="55">
        <f>S35</f>
        <v>206.730148536874</v>
      </c>
      <c r="U35" s="50">
        <f t="shared" si="20"/>
        <v>243.17405837406994</v>
      </c>
      <c r="V35" s="50">
        <f t="shared" si="20"/>
        <v>169.9034598274464</v>
      </c>
      <c r="W35" s="50">
        <f t="shared" si="20"/>
        <v>248.94156306105629</v>
      </c>
      <c r="X35" s="50">
        <f t="shared" si="20"/>
        <v>245.18712498292194</v>
      </c>
      <c r="Y35" s="55">
        <f>X35</f>
        <v>245.18712498292194</v>
      </c>
    </row>
    <row r="36" spans="2:25" x14ac:dyDescent="0.2">
      <c r="B36" s="35" t="s">
        <v>153</v>
      </c>
      <c r="C36" s="51">
        <f t="shared" ref="C36:O36" si="21">SUM(C30:C35)</f>
        <v>524</v>
      </c>
      <c r="D36" s="51">
        <f t="shared" si="21"/>
        <v>486</v>
      </c>
      <c r="E36" s="56">
        <f t="shared" si="21"/>
        <v>486</v>
      </c>
      <c r="F36" s="51">
        <f t="shared" si="21"/>
        <v>460</v>
      </c>
      <c r="G36" s="51">
        <f t="shared" si="21"/>
        <v>433</v>
      </c>
      <c r="H36" s="51">
        <f t="shared" si="21"/>
        <v>408</v>
      </c>
      <c r="I36" s="51">
        <f t="shared" si="21"/>
        <v>455</v>
      </c>
      <c r="J36" s="56">
        <f t="shared" si="21"/>
        <v>455</v>
      </c>
      <c r="K36" s="51">
        <f t="shared" si="21"/>
        <v>522</v>
      </c>
      <c r="L36" s="51">
        <f t="shared" si="21"/>
        <v>452</v>
      </c>
      <c r="M36" s="51">
        <f t="shared" si="21"/>
        <v>457</v>
      </c>
      <c r="N36" s="51">
        <f t="shared" si="21"/>
        <v>1050</v>
      </c>
      <c r="O36" s="58">
        <f t="shared" si="21"/>
        <v>1050</v>
      </c>
      <c r="P36" s="51">
        <f t="shared" ref="P36:Y36" si="22">SUM(P30:P35)</f>
        <v>1321.8328247709835</v>
      </c>
      <c r="Q36" s="51">
        <f t="shared" si="22"/>
        <v>1171.6969168351002</v>
      </c>
      <c r="R36" s="51">
        <f t="shared" si="22"/>
        <v>1334.5960866944311</v>
      </c>
      <c r="S36" s="51">
        <f t="shared" si="22"/>
        <v>1318.1972811500316</v>
      </c>
      <c r="T36" s="56">
        <f t="shared" si="22"/>
        <v>1318.1972811500316</v>
      </c>
      <c r="U36" s="51">
        <f t="shared" si="22"/>
        <v>1412.4762304461669</v>
      </c>
      <c r="V36" s="51">
        <f t="shared" si="22"/>
        <v>1219.9088724447131</v>
      </c>
      <c r="W36" s="51">
        <f t="shared" si="22"/>
        <v>1425.5494572078544</v>
      </c>
      <c r="X36" s="51">
        <f t="shared" si="22"/>
        <v>1414.7306593706965</v>
      </c>
      <c r="Y36" s="56">
        <f t="shared" si="22"/>
        <v>1414.7306593706965</v>
      </c>
    </row>
    <row r="37" spans="2:25" x14ac:dyDescent="0.2">
      <c r="E37" s="22"/>
      <c r="J37" s="22"/>
      <c r="O37" s="30"/>
      <c r="P37" s="62"/>
      <c r="Q37" s="62"/>
      <c r="R37" s="62"/>
      <c r="S37" s="62"/>
      <c r="T37" s="63"/>
      <c r="U37" s="62"/>
      <c r="V37" s="62"/>
      <c r="W37" s="62"/>
      <c r="X37" s="62"/>
      <c r="Y37" s="63"/>
    </row>
    <row r="38" spans="2:25" x14ac:dyDescent="0.2">
      <c r="B38" s="9" t="s">
        <v>154</v>
      </c>
      <c r="E38" s="22"/>
      <c r="J38" s="22"/>
      <c r="O38" s="30"/>
      <c r="P38" s="62"/>
      <c r="Q38" s="62"/>
      <c r="R38" s="62"/>
      <c r="S38" s="62"/>
      <c r="T38" s="63"/>
      <c r="U38" s="62"/>
      <c r="V38" s="62"/>
      <c r="W38" s="62"/>
      <c r="X38" s="62"/>
      <c r="Y38" s="63"/>
    </row>
    <row r="39" spans="2:25" x14ac:dyDescent="0.2">
      <c r="B39" s="8" t="s">
        <v>155</v>
      </c>
      <c r="C39" s="50">
        <v>2823</v>
      </c>
      <c r="D39" s="50">
        <v>2811</v>
      </c>
      <c r="E39" s="55">
        <v>2811</v>
      </c>
      <c r="F39" s="50">
        <v>2619</v>
      </c>
      <c r="G39" s="50">
        <v>2617</v>
      </c>
      <c r="H39" s="50">
        <v>2616</v>
      </c>
      <c r="I39" s="50">
        <v>2987</v>
      </c>
      <c r="J39" s="55">
        <v>2987</v>
      </c>
      <c r="K39" s="50">
        <v>2975</v>
      </c>
      <c r="L39" s="50">
        <v>2972</v>
      </c>
      <c r="M39" s="50">
        <v>2969</v>
      </c>
      <c r="N39" s="50">
        <v>6782</v>
      </c>
      <c r="O39" s="57">
        <v>6782</v>
      </c>
      <c r="P39" s="50">
        <f t="shared" ref="P39:Y39" si="23">P103</f>
        <v>6709.75</v>
      </c>
      <c r="Q39" s="50">
        <f t="shared" si="23"/>
        <v>6664.5</v>
      </c>
      <c r="R39" s="50">
        <f t="shared" si="23"/>
        <v>6619.25</v>
      </c>
      <c r="S39" s="50">
        <f t="shared" si="23"/>
        <v>6574</v>
      </c>
      <c r="T39" s="298">
        <f t="shared" si="23"/>
        <v>6393</v>
      </c>
      <c r="U39" s="50">
        <f t="shared" si="23"/>
        <v>6528.75</v>
      </c>
      <c r="V39" s="50">
        <f t="shared" si="23"/>
        <v>6483.5</v>
      </c>
      <c r="W39" s="50">
        <f t="shared" si="23"/>
        <v>6438.25</v>
      </c>
      <c r="X39" s="50">
        <f t="shared" si="23"/>
        <v>6393</v>
      </c>
      <c r="Y39" s="298">
        <f t="shared" si="23"/>
        <v>6212</v>
      </c>
    </row>
    <row r="40" spans="2:25" x14ac:dyDescent="0.2">
      <c r="B40" s="8" t="s">
        <v>134</v>
      </c>
      <c r="C40" s="50">
        <v>11</v>
      </c>
      <c r="D40" s="50">
        <v>11</v>
      </c>
      <c r="E40" s="55">
        <v>11</v>
      </c>
      <c r="F40" s="50">
        <v>4</v>
      </c>
      <c r="G40" s="50">
        <v>1</v>
      </c>
      <c r="H40" s="50">
        <v>4</v>
      </c>
      <c r="I40" s="50">
        <v>7</v>
      </c>
      <c r="J40" s="55">
        <v>7</v>
      </c>
      <c r="K40" s="50">
        <v>42</v>
      </c>
      <c r="L40" s="50">
        <v>62</v>
      </c>
      <c r="M40" s="50">
        <v>37</v>
      </c>
      <c r="N40" s="50">
        <v>67</v>
      </c>
      <c r="O40" s="57">
        <v>67</v>
      </c>
      <c r="P40" s="50">
        <f t="shared" ref="P40:T45" si="24">O40</f>
        <v>67</v>
      </c>
      <c r="Q40" s="50">
        <f t="shared" si="24"/>
        <v>67</v>
      </c>
      <c r="R40" s="50">
        <f t="shared" si="24"/>
        <v>67</v>
      </c>
      <c r="S40" s="50">
        <f t="shared" si="24"/>
        <v>67</v>
      </c>
      <c r="T40" s="55">
        <f t="shared" si="24"/>
        <v>67</v>
      </c>
      <c r="U40" s="50">
        <f t="shared" ref="U40:U45" si="25">S40</f>
        <v>67</v>
      </c>
      <c r="V40" s="50">
        <f t="shared" ref="V40:Y45" si="26">U40</f>
        <v>67</v>
      </c>
      <c r="W40" s="50">
        <f t="shared" si="26"/>
        <v>67</v>
      </c>
      <c r="X40" s="50">
        <f t="shared" si="26"/>
        <v>67</v>
      </c>
      <c r="Y40" s="55">
        <f t="shared" si="26"/>
        <v>67</v>
      </c>
    </row>
    <row r="41" spans="2:25" x14ac:dyDescent="0.2">
      <c r="B41" s="8" t="s">
        <v>156</v>
      </c>
      <c r="C41" s="50">
        <v>334</v>
      </c>
      <c r="D41" s="50">
        <v>368</v>
      </c>
      <c r="E41" s="55">
        <v>368</v>
      </c>
      <c r="F41" s="50">
        <v>367</v>
      </c>
      <c r="G41" s="50">
        <v>364</v>
      </c>
      <c r="H41" s="50">
        <v>318</v>
      </c>
      <c r="I41" s="50">
        <v>305</v>
      </c>
      <c r="J41" s="55">
        <v>305</v>
      </c>
      <c r="K41" s="50">
        <v>289</v>
      </c>
      <c r="L41" s="50">
        <v>282</v>
      </c>
      <c r="M41" s="50">
        <v>243</v>
      </c>
      <c r="N41" s="50">
        <v>229</v>
      </c>
      <c r="O41" s="57">
        <v>229</v>
      </c>
      <c r="P41" s="50">
        <f t="shared" si="24"/>
        <v>229</v>
      </c>
      <c r="Q41" s="50">
        <f t="shared" si="24"/>
        <v>229</v>
      </c>
      <c r="R41" s="50">
        <f t="shared" si="24"/>
        <v>229</v>
      </c>
      <c r="S41" s="50">
        <f t="shared" si="24"/>
        <v>229</v>
      </c>
      <c r="T41" s="55">
        <f t="shared" si="24"/>
        <v>229</v>
      </c>
      <c r="U41" s="50">
        <f t="shared" si="25"/>
        <v>229</v>
      </c>
      <c r="V41" s="50">
        <f t="shared" si="26"/>
        <v>229</v>
      </c>
      <c r="W41" s="50">
        <f t="shared" si="26"/>
        <v>229</v>
      </c>
      <c r="X41" s="50">
        <f t="shared" si="26"/>
        <v>229</v>
      </c>
      <c r="Y41" s="55">
        <f t="shared" si="26"/>
        <v>229</v>
      </c>
    </row>
    <row r="42" spans="2:25" x14ac:dyDescent="0.2">
      <c r="B42" s="8" t="s">
        <v>157</v>
      </c>
      <c r="C42" s="50">
        <v>452</v>
      </c>
      <c r="D42" s="50">
        <v>469</v>
      </c>
      <c r="E42" s="55">
        <v>469</v>
      </c>
      <c r="F42" s="50">
        <v>471</v>
      </c>
      <c r="G42" s="50">
        <v>473</v>
      </c>
      <c r="H42" s="50">
        <v>475</v>
      </c>
      <c r="I42" s="50">
        <v>468</v>
      </c>
      <c r="J42" s="55">
        <v>468</v>
      </c>
      <c r="K42" s="50">
        <v>468</v>
      </c>
      <c r="L42" s="50">
        <v>478</v>
      </c>
      <c r="M42" s="50">
        <v>477</v>
      </c>
      <c r="N42" s="50">
        <v>494</v>
      </c>
      <c r="O42" s="57">
        <v>494</v>
      </c>
      <c r="P42" s="50">
        <f t="shared" si="24"/>
        <v>494</v>
      </c>
      <c r="Q42" s="50">
        <f t="shared" si="24"/>
        <v>494</v>
      </c>
      <c r="R42" s="50">
        <f t="shared" si="24"/>
        <v>494</v>
      </c>
      <c r="S42" s="50">
        <f t="shared" si="24"/>
        <v>494</v>
      </c>
      <c r="T42" s="55">
        <f t="shared" si="24"/>
        <v>494</v>
      </c>
      <c r="U42" s="50">
        <f t="shared" si="25"/>
        <v>494</v>
      </c>
      <c r="V42" s="50">
        <f t="shared" si="26"/>
        <v>494</v>
      </c>
      <c r="W42" s="50">
        <f t="shared" si="26"/>
        <v>494</v>
      </c>
      <c r="X42" s="50">
        <f t="shared" si="26"/>
        <v>494</v>
      </c>
      <c r="Y42" s="55">
        <f t="shared" si="26"/>
        <v>494</v>
      </c>
    </row>
    <row r="43" spans="2:25" x14ac:dyDescent="0.2">
      <c r="B43" s="8" t="s">
        <v>158</v>
      </c>
      <c r="C43" s="50">
        <v>346</v>
      </c>
      <c r="D43" s="50">
        <v>407</v>
      </c>
      <c r="E43" s="55">
        <v>407</v>
      </c>
      <c r="F43" s="50">
        <v>460</v>
      </c>
      <c r="G43" s="50">
        <v>495</v>
      </c>
      <c r="H43" s="50">
        <v>452</v>
      </c>
      <c r="I43" s="50">
        <v>362</v>
      </c>
      <c r="J43" s="55">
        <v>362</v>
      </c>
      <c r="K43" s="50">
        <v>294</v>
      </c>
      <c r="L43" s="50">
        <v>297</v>
      </c>
      <c r="M43" s="50">
        <v>409</v>
      </c>
      <c r="N43" s="50">
        <v>486</v>
      </c>
      <c r="O43" s="57">
        <v>486</v>
      </c>
      <c r="P43" s="50">
        <f t="shared" si="24"/>
        <v>486</v>
      </c>
      <c r="Q43" s="50">
        <f t="shared" si="24"/>
        <v>486</v>
      </c>
      <c r="R43" s="50">
        <f t="shared" si="24"/>
        <v>486</v>
      </c>
      <c r="S43" s="50">
        <f t="shared" si="24"/>
        <v>486</v>
      </c>
      <c r="T43" s="55">
        <f t="shared" si="24"/>
        <v>486</v>
      </c>
      <c r="U43" s="50">
        <f t="shared" si="25"/>
        <v>486</v>
      </c>
      <c r="V43" s="50">
        <f t="shared" si="26"/>
        <v>486</v>
      </c>
      <c r="W43" s="50">
        <f t="shared" si="26"/>
        <v>486</v>
      </c>
      <c r="X43" s="50">
        <f t="shared" si="26"/>
        <v>486</v>
      </c>
      <c r="Y43" s="55">
        <f t="shared" si="26"/>
        <v>486</v>
      </c>
    </row>
    <row r="44" spans="2:25" x14ac:dyDescent="0.2">
      <c r="B44" s="8" t="s">
        <v>159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0">
        <v>662</v>
      </c>
      <c r="O44" s="57">
        <v>662</v>
      </c>
      <c r="P44" s="50">
        <f t="shared" si="24"/>
        <v>662</v>
      </c>
      <c r="Q44" s="50">
        <f t="shared" si="24"/>
        <v>662</v>
      </c>
      <c r="R44" s="50">
        <f t="shared" si="24"/>
        <v>662</v>
      </c>
      <c r="S44" s="50">
        <f t="shared" si="24"/>
        <v>662</v>
      </c>
      <c r="T44" s="55">
        <f t="shared" si="24"/>
        <v>662</v>
      </c>
      <c r="U44" s="50">
        <f t="shared" si="25"/>
        <v>662</v>
      </c>
      <c r="V44" s="50">
        <f t="shared" si="26"/>
        <v>662</v>
      </c>
      <c r="W44" s="50">
        <f t="shared" si="26"/>
        <v>662</v>
      </c>
      <c r="X44" s="50">
        <f t="shared" si="26"/>
        <v>662</v>
      </c>
      <c r="Y44" s="55">
        <f t="shared" si="26"/>
        <v>662</v>
      </c>
    </row>
    <row r="45" spans="2:25" x14ac:dyDescent="0.2">
      <c r="B45" s="8" t="s">
        <v>160</v>
      </c>
      <c r="C45" s="50">
        <v>44</v>
      </c>
      <c r="D45" s="50">
        <v>35</v>
      </c>
      <c r="E45" s="55">
        <v>35</v>
      </c>
      <c r="F45" s="50">
        <v>118</v>
      </c>
      <c r="G45" s="50">
        <v>127</v>
      </c>
      <c r="H45" s="50">
        <v>130</v>
      </c>
      <c r="I45" s="50">
        <v>135</v>
      </c>
      <c r="J45" s="55">
        <v>135</v>
      </c>
      <c r="K45" s="50">
        <v>95</v>
      </c>
      <c r="L45" s="50">
        <v>38</v>
      </c>
      <c r="M45" s="50">
        <v>36</v>
      </c>
      <c r="N45" s="50">
        <v>42</v>
      </c>
      <c r="O45" s="57">
        <v>42</v>
      </c>
      <c r="P45" s="50">
        <f t="shared" si="24"/>
        <v>42</v>
      </c>
      <c r="Q45" s="50">
        <f t="shared" si="24"/>
        <v>42</v>
      </c>
      <c r="R45" s="50">
        <f t="shared" si="24"/>
        <v>42</v>
      </c>
      <c r="S45" s="50">
        <f t="shared" si="24"/>
        <v>42</v>
      </c>
      <c r="T45" s="55">
        <f t="shared" si="24"/>
        <v>42</v>
      </c>
      <c r="U45" s="50">
        <f t="shared" si="25"/>
        <v>42</v>
      </c>
      <c r="V45" s="50">
        <f t="shared" si="26"/>
        <v>42</v>
      </c>
      <c r="W45" s="50">
        <f t="shared" si="26"/>
        <v>42</v>
      </c>
      <c r="X45" s="50">
        <f t="shared" si="26"/>
        <v>42</v>
      </c>
      <c r="Y45" s="55">
        <f t="shared" si="26"/>
        <v>42</v>
      </c>
    </row>
    <row r="46" spans="2:25" x14ac:dyDescent="0.2">
      <c r="B46" s="35" t="s">
        <v>161</v>
      </c>
      <c r="C46" s="51">
        <f t="shared" ref="C46:O46" si="27">SUM(C39:C45)</f>
        <v>4010</v>
      </c>
      <c r="D46" s="51">
        <f t="shared" si="27"/>
        <v>4101</v>
      </c>
      <c r="E46" s="56">
        <f t="shared" si="27"/>
        <v>4101</v>
      </c>
      <c r="F46" s="51">
        <f t="shared" si="27"/>
        <v>4039</v>
      </c>
      <c r="G46" s="51">
        <f t="shared" si="27"/>
        <v>4077</v>
      </c>
      <c r="H46" s="51">
        <f t="shared" si="27"/>
        <v>3995</v>
      </c>
      <c r="I46" s="51">
        <f t="shared" si="27"/>
        <v>4264</v>
      </c>
      <c r="J46" s="56">
        <f t="shared" si="27"/>
        <v>4264</v>
      </c>
      <c r="K46" s="51">
        <f t="shared" si="27"/>
        <v>4163</v>
      </c>
      <c r="L46" s="51">
        <f t="shared" si="27"/>
        <v>4129</v>
      </c>
      <c r="M46" s="51">
        <f t="shared" si="27"/>
        <v>4171</v>
      </c>
      <c r="N46" s="51">
        <f t="shared" si="27"/>
        <v>8762</v>
      </c>
      <c r="O46" s="58">
        <f t="shared" si="27"/>
        <v>8762</v>
      </c>
      <c r="P46" s="51">
        <f t="shared" ref="P46:Y46" si="28">SUM(P39:P45)</f>
        <v>8689.75</v>
      </c>
      <c r="Q46" s="51">
        <f t="shared" si="28"/>
        <v>8644.5</v>
      </c>
      <c r="R46" s="51">
        <f t="shared" si="28"/>
        <v>8599.25</v>
      </c>
      <c r="S46" s="51">
        <f t="shared" si="28"/>
        <v>8554</v>
      </c>
      <c r="T46" s="56">
        <f t="shared" si="28"/>
        <v>8373</v>
      </c>
      <c r="U46" s="51">
        <f t="shared" si="28"/>
        <v>8508.75</v>
      </c>
      <c r="V46" s="51">
        <f t="shared" si="28"/>
        <v>8463.5</v>
      </c>
      <c r="W46" s="51">
        <f t="shared" si="28"/>
        <v>8418.25</v>
      </c>
      <c r="X46" s="51">
        <f t="shared" si="28"/>
        <v>8373</v>
      </c>
      <c r="Y46" s="56">
        <f t="shared" si="28"/>
        <v>8192</v>
      </c>
    </row>
    <row r="47" spans="2:25" x14ac:dyDescent="0.2">
      <c r="E47" s="22"/>
      <c r="J47" s="22"/>
      <c r="O47" s="30"/>
      <c r="P47" s="62"/>
      <c r="Q47" s="62"/>
      <c r="R47" s="62"/>
      <c r="S47" s="62"/>
      <c r="T47" s="63"/>
      <c r="U47" s="62"/>
      <c r="V47" s="62"/>
      <c r="W47" s="62"/>
      <c r="X47" s="62"/>
      <c r="Y47" s="63"/>
    </row>
    <row r="48" spans="2:25" x14ac:dyDescent="0.2">
      <c r="B48" s="35" t="s">
        <v>162</v>
      </c>
      <c r="C48" s="51">
        <f t="shared" ref="C48:O48" si="29">C36+C46</f>
        <v>4534</v>
      </c>
      <c r="D48" s="51">
        <f t="shared" si="29"/>
        <v>4587</v>
      </c>
      <c r="E48" s="56">
        <f t="shared" si="29"/>
        <v>4587</v>
      </c>
      <c r="F48" s="51">
        <f t="shared" si="29"/>
        <v>4499</v>
      </c>
      <c r="G48" s="51">
        <f t="shared" si="29"/>
        <v>4510</v>
      </c>
      <c r="H48" s="51">
        <f t="shared" si="29"/>
        <v>4403</v>
      </c>
      <c r="I48" s="51">
        <f t="shared" si="29"/>
        <v>4719</v>
      </c>
      <c r="J48" s="56">
        <f t="shared" si="29"/>
        <v>4719</v>
      </c>
      <c r="K48" s="51">
        <f t="shared" si="29"/>
        <v>4685</v>
      </c>
      <c r="L48" s="51">
        <f t="shared" si="29"/>
        <v>4581</v>
      </c>
      <c r="M48" s="51">
        <f t="shared" si="29"/>
        <v>4628</v>
      </c>
      <c r="N48" s="51">
        <f t="shared" si="29"/>
        <v>9812</v>
      </c>
      <c r="O48" s="58">
        <f t="shared" si="29"/>
        <v>9812</v>
      </c>
      <c r="P48" s="51">
        <f t="shared" ref="P48:Y48" si="30">P36+P46</f>
        <v>10011.582824770983</v>
      </c>
      <c r="Q48" s="51">
        <f t="shared" si="30"/>
        <v>9816.1969168351006</v>
      </c>
      <c r="R48" s="51">
        <f t="shared" si="30"/>
        <v>9933.8460866944315</v>
      </c>
      <c r="S48" s="51">
        <f t="shared" si="30"/>
        <v>9872.1972811500309</v>
      </c>
      <c r="T48" s="56">
        <f t="shared" si="30"/>
        <v>9691.1972811500309</v>
      </c>
      <c r="U48" s="51">
        <f t="shared" si="30"/>
        <v>9921.2262304461674</v>
      </c>
      <c r="V48" s="51">
        <f t="shared" si="30"/>
        <v>9683.4088724447138</v>
      </c>
      <c r="W48" s="51">
        <f t="shared" si="30"/>
        <v>9843.7994572078551</v>
      </c>
      <c r="X48" s="51">
        <f t="shared" si="30"/>
        <v>9787.7306593706962</v>
      </c>
      <c r="Y48" s="56">
        <f t="shared" si="30"/>
        <v>9606.7306593706962</v>
      </c>
    </row>
    <row r="49" spans="2:25" x14ac:dyDescent="0.2">
      <c r="E49" s="22"/>
      <c r="J49" s="22"/>
      <c r="O49" s="30"/>
      <c r="P49" s="62"/>
      <c r="Q49" s="62"/>
      <c r="R49" s="62"/>
      <c r="S49" s="62"/>
      <c r="T49" s="63"/>
      <c r="U49" s="62"/>
      <c r="V49" s="62"/>
      <c r="W49" s="62"/>
      <c r="X49" s="62"/>
      <c r="Y49" s="63"/>
    </row>
    <row r="50" spans="2:25" x14ac:dyDescent="0.2">
      <c r="B50" s="9" t="s">
        <v>163</v>
      </c>
      <c r="E50" s="22"/>
      <c r="J50" s="22"/>
      <c r="O50" s="30"/>
      <c r="P50" s="62"/>
      <c r="Q50" s="62"/>
      <c r="R50" s="62"/>
      <c r="S50" s="62"/>
      <c r="T50" s="63"/>
      <c r="U50" s="62"/>
      <c r="V50" s="62"/>
      <c r="W50" s="62"/>
      <c r="X50" s="62"/>
      <c r="Y50" s="63"/>
    </row>
    <row r="51" spans="2:25" x14ac:dyDescent="0.2">
      <c r="B51" s="8" t="s">
        <v>164</v>
      </c>
      <c r="C51" s="50">
        <v>2337</v>
      </c>
      <c r="D51" s="50">
        <v>2346</v>
      </c>
      <c r="E51" s="55">
        <v>2346</v>
      </c>
      <c r="F51" s="50">
        <v>2339</v>
      </c>
      <c r="G51" s="50">
        <v>2092</v>
      </c>
      <c r="H51" s="50">
        <v>1980</v>
      </c>
      <c r="I51" s="50">
        <v>1725</v>
      </c>
      <c r="J51" s="55">
        <v>1725</v>
      </c>
      <c r="K51" s="50">
        <v>1718</v>
      </c>
      <c r="L51" s="50">
        <v>1711</v>
      </c>
      <c r="M51" s="50">
        <v>1726</v>
      </c>
      <c r="N51" s="50">
        <v>1709</v>
      </c>
      <c r="O51" s="57">
        <v>1709</v>
      </c>
      <c r="P51" s="50">
        <f t="shared" ref="P51:Y51" si="31">P122</f>
        <v>1709</v>
      </c>
      <c r="Q51" s="50">
        <f t="shared" si="31"/>
        <v>1709</v>
      </c>
      <c r="R51" s="50">
        <f t="shared" si="31"/>
        <v>1709</v>
      </c>
      <c r="S51" s="50">
        <f t="shared" si="31"/>
        <v>1709</v>
      </c>
      <c r="T51" s="55">
        <f t="shared" si="31"/>
        <v>1709</v>
      </c>
      <c r="U51" s="50">
        <f t="shared" si="31"/>
        <v>1709</v>
      </c>
      <c r="V51" s="50">
        <f t="shared" si="31"/>
        <v>1709</v>
      </c>
      <c r="W51" s="50">
        <f t="shared" si="31"/>
        <v>1709</v>
      </c>
      <c r="X51" s="50">
        <f t="shared" si="31"/>
        <v>1709</v>
      </c>
      <c r="Y51" s="55">
        <f t="shared" si="31"/>
        <v>1709</v>
      </c>
    </row>
    <row r="52" spans="2:25" x14ac:dyDescent="0.2">
      <c r="B52" s="8" t="s">
        <v>165</v>
      </c>
      <c r="C52" s="50">
        <v>-48</v>
      </c>
      <c r="D52" s="50">
        <v>134</v>
      </c>
      <c r="E52" s="55">
        <v>134</v>
      </c>
      <c r="F52" s="50">
        <v>428</v>
      </c>
      <c r="G52" s="50">
        <v>448</v>
      </c>
      <c r="H52" s="50">
        <v>412</v>
      </c>
      <c r="I52" s="50">
        <v>-326</v>
      </c>
      <c r="J52" s="55">
        <v>-326</v>
      </c>
      <c r="K52" s="50">
        <v>-528</v>
      </c>
      <c r="L52" s="50">
        <v>-456</v>
      </c>
      <c r="M52" s="50">
        <v>-249</v>
      </c>
      <c r="N52" s="50">
        <v>-612</v>
      </c>
      <c r="O52" s="57">
        <v>-612</v>
      </c>
      <c r="P52" s="50">
        <f t="shared" ref="P52:Y52" si="32">P116</f>
        <v>-279.91825338576518</v>
      </c>
      <c r="Q52" s="50">
        <f t="shared" si="32"/>
        <v>-47.480016718644151</v>
      </c>
      <c r="R52" s="50">
        <f t="shared" si="32"/>
        <v>300.72368266897217</v>
      </c>
      <c r="S52" s="50">
        <f t="shared" si="32"/>
        <v>616.55595885146272</v>
      </c>
      <c r="T52" s="55">
        <f t="shared" si="32"/>
        <v>616.55595885146272</v>
      </c>
      <c r="U52" s="50">
        <f t="shared" si="32"/>
        <v>1087.717282005246</v>
      </c>
      <c r="V52" s="50">
        <f t="shared" si="32"/>
        <v>1397.7610561999384</v>
      </c>
      <c r="W52" s="50">
        <f t="shared" si="32"/>
        <v>1875.8609117029011</v>
      </c>
      <c r="X52" s="50">
        <f t="shared" si="32"/>
        <v>2345.5096444854717</v>
      </c>
      <c r="Y52" s="55">
        <f t="shared" si="32"/>
        <v>2345.5096444854717</v>
      </c>
    </row>
    <row r="53" spans="2:25" x14ac:dyDescent="0.2">
      <c r="B53" s="8" t="s">
        <v>166</v>
      </c>
      <c r="C53" s="50">
        <v>-12</v>
      </c>
      <c r="D53" s="50">
        <v>-23</v>
      </c>
      <c r="E53" s="55">
        <v>-23</v>
      </c>
      <c r="F53" s="50">
        <f>-27-39</f>
        <v>-66</v>
      </c>
      <c r="G53" s="50">
        <v>-29</v>
      </c>
      <c r="H53" s="50">
        <v>-5</v>
      </c>
      <c r="I53" s="50">
        <v>-12</v>
      </c>
      <c r="J53" s="55">
        <v>-12</v>
      </c>
      <c r="K53" s="50">
        <v>-10</v>
      </c>
      <c r="L53" s="50">
        <v>-9</v>
      </c>
      <c r="M53" s="50">
        <v>-8</v>
      </c>
      <c r="N53" s="50">
        <v>-4</v>
      </c>
      <c r="O53" s="57">
        <v>-4</v>
      </c>
      <c r="P53" s="50">
        <f t="shared" ref="P53:Y53" si="33">P27-P48-P51-P52</f>
        <v>13.107397030356424</v>
      </c>
      <c r="Q53" s="50">
        <f t="shared" si="33"/>
        <v>153.80981612963308</v>
      </c>
      <c r="R53" s="50">
        <f t="shared" si="33"/>
        <v>296.62052748345661</v>
      </c>
      <c r="S53" s="50">
        <f t="shared" si="33"/>
        <v>437.69039127855081</v>
      </c>
      <c r="T53" s="55">
        <f t="shared" si="33"/>
        <v>618.69039127855081</v>
      </c>
      <c r="U53" s="50">
        <f t="shared" si="33"/>
        <v>566.25845981043813</v>
      </c>
      <c r="V53" s="50">
        <f t="shared" si="33"/>
        <v>653.57632221090967</v>
      </c>
      <c r="W53" s="50">
        <f t="shared" si="33"/>
        <v>1099.2920862743392</v>
      </c>
      <c r="X53" s="50">
        <f t="shared" si="33"/>
        <v>1034.8207819505442</v>
      </c>
      <c r="Y53" s="55">
        <f t="shared" si="33"/>
        <v>1215.8207819505442</v>
      </c>
    </row>
    <row r="54" spans="2:25" x14ac:dyDescent="0.2">
      <c r="B54" s="35" t="s">
        <v>167</v>
      </c>
      <c r="C54" s="51">
        <f t="shared" ref="C54:O54" si="34">SUM(C51:C53)</f>
        <v>2277</v>
      </c>
      <c r="D54" s="51">
        <f t="shared" si="34"/>
        <v>2457</v>
      </c>
      <c r="E54" s="56">
        <f t="shared" si="34"/>
        <v>2457</v>
      </c>
      <c r="F54" s="51">
        <f t="shared" si="34"/>
        <v>2701</v>
      </c>
      <c r="G54" s="51">
        <f t="shared" si="34"/>
        <v>2511</v>
      </c>
      <c r="H54" s="51">
        <f t="shared" si="34"/>
        <v>2387</v>
      </c>
      <c r="I54" s="51">
        <f t="shared" si="34"/>
        <v>1387</v>
      </c>
      <c r="J54" s="56">
        <f t="shared" si="34"/>
        <v>1387</v>
      </c>
      <c r="K54" s="51">
        <f t="shared" si="34"/>
        <v>1180</v>
      </c>
      <c r="L54" s="51">
        <f t="shared" si="34"/>
        <v>1246</v>
      </c>
      <c r="M54" s="51">
        <f t="shared" si="34"/>
        <v>1469</v>
      </c>
      <c r="N54" s="51">
        <f t="shared" si="34"/>
        <v>1093</v>
      </c>
      <c r="O54" s="58">
        <f t="shared" si="34"/>
        <v>1093</v>
      </c>
      <c r="P54" s="51">
        <f t="shared" ref="P54:Y54" si="35">SUM(P51:P53)</f>
        <v>1442.1891436445912</v>
      </c>
      <c r="Q54" s="51">
        <f t="shared" si="35"/>
        <v>1815.3297994109889</v>
      </c>
      <c r="R54" s="51">
        <f t="shared" si="35"/>
        <v>2306.3442101524288</v>
      </c>
      <c r="S54" s="51">
        <f t="shared" si="35"/>
        <v>2763.2463501300135</v>
      </c>
      <c r="T54" s="56">
        <f t="shared" si="35"/>
        <v>2944.2463501300135</v>
      </c>
      <c r="U54" s="51">
        <f t="shared" si="35"/>
        <v>3362.9757418156842</v>
      </c>
      <c r="V54" s="51">
        <f t="shared" si="35"/>
        <v>3760.337378410848</v>
      </c>
      <c r="W54" s="51">
        <f t="shared" si="35"/>
        <v>4684.1529979772404</v>
      </c>
      <c r="X54" s="51">
        <f t="shared" si="35"/>
        <v>5089.3304264360158</v>
      </c>
      <c r="Y54" s="56">
        <f t="shared" si="35"/>
        <v>5270.3304264360158</v>
      </c>
    </row>
    <row r="55" spans="2:25" x14ac:dyDescent="0.2">
      <c r="E55" s="22"/>
      <c r="J55" s="22"/>
      <c r="O55" s="30"/>
      <c r="P55" s="62"/>
      <c r="Q55" s="62"/>
      <c r="R55" s="62"/>
      <c r="S55" s="62"/>
      <c r="T55" s="63"/>
      <c r="U55" s="62"/>
      <c r="V55" s="62"/>
      <c r="W55" s="62"/>
      <c r="X55" s="62"/>
      <c r="Y55" s="63"/>
    </row>
    <row r="56" spans="2:25" x14ac:dyDescent="0.2">
      <c r="B56" s="8" t="s">
        <v>168</v>
      </c>
      <c r="C56" s="8">
        <v>81</v>
      </c>
      <c r="D56" s="8">
        <v>77</v>
      </c>
      <c r="E56" s="22">
        <v>77</v>
      </c>
      <c r="F56" s="8">
        <v>65</v>
      </c>
      <c r="G56" s="8">
        <v>61</v>
      </c>
      <c r="H56" s="8">
        <v>58</v>
      </c>
      <c r="J56" s="22"/>
      <c r="O56" s="30"/>
      <c r="P56" s="62">
        <f>O56</f>
        <v>0</v>
      </c>
      <c r="Q56" s="62">
        <f>P56</f>
        <v>0</v>
      </c>
      <c r="R56" s="62">
        <f>Q56</f>
        <v>0</v>
      </c>
      <c r="S56" s="62">
        <f>R56</f>
        <v>0</v>
      </c>
      <c r="T56" s="63">
        <f>S56</f>
        <v>0</v>
      </c>
      <c r="U56" s="62">
        <f>S56</f>
        <v>0</v>
      </c>
      <c r="V56" s="62">
        <f>U56</f>
        <v>0</v>
      </c>
      <c r="W56" s="62">
        <f>V56</f>
        <v>0</v>
      </c>
      <c r="X56" s="62">
        <f>W56</f>
        <v>0</v>
      </c>
      <c r="Y56" s="63">
        <f>X56</f>
        <v>0</v>
      </c>
    </row>
    <row r="57" spans="2:25" x14ac:dyDescent="0.2">
      <c r="E57" s="22"/>
      <c r="J57" s="22"/>
      <c r="O57" s="30"/>
      <c r="P57" s="62"/>
      <c r="Q57" s="62"/>
      <c r="R57" s="62"/>
      <c r="S57" s="62"/>
      <c r="T57" s="63"/>
      <c r="U57" s="62"/>
      <c r="V57" s="62"/>
      <c r="W57" s="62"/>
      <c r="X57" s="62"/>
      <c r="Y57" s="63"/>
    </row>
    <row r="58" spans="2:25" x14ac:dyDescent="0.2">
      <c r="B58" s="35" t="s">
        <v>169</v>
      </c>
      <c r="C58" s="51">
        <f t="shared" ref="C58:O58" si="36">SUM(C48,C54,C56)</f>
        <v>6892</v>
      </c>
      <c r="D58" s="51">
        <f t="shared" si="36"/>
        <v>7121</v>
      </c>
      <c r="E58" s="56">
        <f t="shared" si="36"/>
        <v>7121</v>
      </c>
      <c r="F58" s="51">
        <f>SUM(F48,F54,F56)</f>
        <v>7265</v>
      </c>
      <c r="G58" s="51">
        <f t="shared" si="36"/>
        <v>7082</v>
      </c>
      <c r="H58" s="51">
        <f t="shared" si="36"/>
        <v>6848</v>
      </c>
      <c r="I58" s="51">
        <f t="shared" si="36"/>
        <v>6106</v>
      </c>
      <c r="J58" s="56">
        <f t="shared" si="36"/>
        <v>6106</v>
      </c>
      <c r="K58" s="51">
        <f t="shared" si="36"/>
        <v>5865</v>
      </c>
      <c r="L58" s="51">
        <f t="shared" si="36"/>
        <v>5827</v>
      </c>
      <c r="M58" s="51">
        <f t="shared" si="36"/>
        <v>6097</v>
      </c>
      <c r="N58" s="51">
        <f t="shared" si="36"/>
        <v>10905</v>
      </c>
      <c r="O58" s="58">
        <f t="shared" si="36"/>
        <v>10905</v>
      </c>
      <c r="P58" s="51">
        <f t="shared" ref="P58:Y58" si="37">SUM(P48,P54,P56)</f>
        <v>11453.771968415575</v>
      </c>
      <c r="Q58" s="51">
        <f t="shared" si="37"/>
        <v>11631.52671624609</v>
      </c>
      <c r="R58" s="51">
        <f t="shared" si="37"/>
        <v>12240.19029684686</v>
      </c>
      <c r="S58" s="51">
        <f t="shared" si="37"/>
        <v>12635.443631280044</v>
      </c>
      <c r="T58" s="56">
        <f t="shared" si="37"/>
        <v>12635.443631280044</v>
      </c>
      <c r="U58" s="51">
        <f t="shared" si="37"/>
        <v>13284.201972261852</v>
      </c>
      <c r="V58" s="51">
        <f t="shared" si="37"/>
        <v>13443.746250855562</v>
      </c>
      <c r="W58" s="51">
        <f t="shared" si="37"/>
        <v>14527.952455185095</v>
      </c>
      <c r="X58" s="51">
        <f t="shared" si="37"/>
        <v>14877.061085806712</v>
      </c>
      <c r="Y58" s="56">
        <f t="shared" si="37"/>
        <v>14877.061085806712</v>
      </c>
    </row>
    <row r="59" spans="2:25" x14ac:dyDescent="0.2">
      <c r="E59" s="22"/>
      <c r="J59" s="22"/>
      <c r="O59" s="30"/>
      <c r="T59" s="22"/>
      <c r="Y59" s="22"/>
    </row>
    <row r="60" spans="2:25" x14ac:dyDescent="0.2">
      <c r="B60" s="26" t="s">
        <v>170</v>
      </c>
      <c r="C60" s="62">
        <f t="shared" ref="C60:O60" si="38">ROUND(C58-C27,0)</f>
        <v>0</v>
      </c>
      <c r="D60" s="62">
        <f t="shared" si="38"/>
        <v>0</v>
      </c>
      <c r="E60" s="63">
        <f t="shared" si="38"/>
        <v>0</v>
      </c>
      <c r="F60" s="62">
        <f t="shared" si="38"/>
        <v>0</v>
      </c>
      <c r="G60" s="62">
        <f t="shared" si="38"/>
        <v>0</v>
      </c>
      <c r="H60" s="62">
        <f t="shared" si="38"/>
        <v>0</v>
      </c>
      <c r="I60" s="62">
        <f t="shared" si="38"/>
        <v>0</v>
      </c>
      <c r="J60" s="63">
        <f t="shared" si="38"/>
        <v>0</v>
      </c>
      <c r="K60" s="62">
        <f t="shared" si="38"/>
        <v>0</v>
      </c>
      <c r="L60" s="62">
        <f t="shared" si="38"/>
        <v>0</v>
      </c>
      <c r="M60" s="62">
        <f t="shared" si="38"/>
        <v>0</v>
      </c>
      <c r="N60" s="62">
        <f t="shared" si="38"/>
        <v>0</v>
      </c>
      <c r="O60" s="64">
        <f t="shared" si="38"/>
        <v>0</v>
      </c>
      <c r="P60" s="269">
        <f t="shared" ref="P60:Y60" si="39">ROUND(P58-P27,0)</f>
        <v>0</v>
      </c>
      <c r="Q60" s="269">
        <f t="shared" si="39"/>
        <v>0</v>
      </c>
      <c r="R60" s="269">
        <f t="shared" si="39"/>
        <v>0</v>
      </c>
      <c r="S60" s="269">
        <f t="shared" si="39"/>
        <v>0</v>
      </c>
      <c r="T60" s="269">
        <f t="shared" si="39"/>
        <v>0</v>
      </c>
      <c r="U60" s="269">
        <f t="shared" si="39"/>
        <v>0</v>
      </c>
      <c r="V60" s="269">
        <f t="shared" si="39"/>
        <v>0</v>
      </c>
      <c r="W60" s="269">
        <f t="shared" si="39"/>
        <v>0</v>
      </c>
      <c r="X60" s="269">
        <f t="shared" si="39"/>
        <v>0</v>
      </c>
      <c r="Y60" s="362">
        <f t="shared" si="39"/>
        <v>0</v>
      </c>
    </row>
    <row r="61" spans="2:25" x14ac:dyDescent="0.2">
      <c r="E61" s="22"/>
      <c r="J61" s="22"/>
      <c r="O61" s="30"/>
      <c r="T61" s="22"/>
      <c r="Y61" s="22"/>
    </row>
    <row r="62" spans="2:25" x14ac:dyDescent="0.2">
      <c r="B62" s="90" t="s">
        <v>171</v>
      </c>
      <c r="C62" s="67"/>
      <c r="D62" s="67"/>
      <c r="E62" s="190"/>
      <c r="F62" s="67"/>
      <c r="G62" s="67"/>
      <c r="H62" s="67"/>
      <c r="I62" s="67"/>
      <c r="J62" s="190"/>
      <c r="K62" s="67"/>
      <c r="L62" s="67"/>
      <c r="M62" s="67"/>
      <c r="N62" s="67"/>
      <c r="O62" s="185"/>
      <c r="P62" s="67"/>
      <c r="Q62" s="67"/>
      <c r="R62" s="67"/>
      <c r="S62" s="67"/>
      <c r="T62" s="190"/>
      <c r="U62" s="67"/>
      <c r="V62" s="67"/>
      <c r="W62" s="67"/>
      <c r="X62" s="67"/>
      <c r="Y62" s="190"/>
    </row>
    <row r="63" spans="2:25" x14ac:dyDescent="0.2">
      <c r="B63" s="179" t="s">
        <v>172</v>
      </c>
      <c r="C63" s="177"/>
      <c r="D63" s="177">
        <f>C67</f>
        <v>3368</v>
      </c>
      <c r="E63" s="211"/>
      <c r="F63" s="177">
        <f>D67</f>
        <v>3405</v>
      </c>
      <c r="G63" s="177">
        <f>F67</f>
        <v>2964</v>
      </c>
      <c r="H63" s="177">
        <f>G67</f>
        <v>2934</v>
      </c>
      <c r="I63" s="177">
        <f>H67</f>
        <v>2886</v>
      </c>
      <c r="J63" s="211">
        <f>E67</f>
        <v>3405</v>
      </c>
      <c r="K63" s="177">
        <f>I67</f>
        <v>2810</v>
      </c>
      <c r="L63" s="177">
        <f>K67</f>
        <v>2785</v>
      </c>
      <c r="M63" s="177">
        <f>L67</f>
        <v>2759</v>
      </c>
      <c r="N63" s="177">
        <f>M67</f>
        <v>2719</v>
      </c>
      <c r="O63" s="194">
        <f>J67</f>
        <v>2810</v>
      </c>
      <c r="P63" s="177">
        <f>O67</f>
        <v>7093</v>
      </c>
      <c r="Q63" s="177">
        <f>P67</f>
        <v>7060.9526699947764</v>
      </c>
      <c r="R63" s="177">
        <f t="shared" ref="R63:S63" si="40">Q67</f>
        <v>7037.737628046907</v>
      </c>
      <c r="S63" s="177">
        <f t="shared" si="40"/>
        <v>7004.8156120045933</v>
      </c>
      <c r="T63" s="211"/>
      <c r="U63" s="177">
        <f>S67</f>
        <v>6972.8054068062793</v>
      </c>
      <c r="V63" s="177">
        <f>U67</f>
        <v>6935.152207393653</v>
      </c>
      <c r="W63" s="177">
        <f t="shared" ref="W63:X63" si="41">V67</f>
        <v>6908.8442660920491</v>
      </c>
      <c r="X63" s="177">
        <f t="shared" si="41"/>
        <v>6870.298023212762</v>
      </c>
      <c r="Y63" s="194"/>
    </row>
    <row r="64" spans="2:25" x14ac:dyDescent="0.2">
      <c r="B64" s="259" t="s">
        <v>173</v>
      </c>
      <c r="C64" s="50"/>
      <c r="D64" s="50">
        <f>'Cash Flow Statement'!D36*(1-'Cash Flow Statement'!D37)</f>
        <v>50.4</v>
      </c>
      <c r="E64" s="55">
        <f>'Cash Flow Statement'!E36*(1-'Cash Flow Statement'!E37)</f>
        <v>228.60000000000002</v>
      </c>
      <c r="F64" s="50">
        <f>'Cash Flow Statement'!F36*(1-'Cash Flow Statement'!F37)</f>
        <v>22.5</v>
      </c>
      <c r="G64" s="50">
        <f>'Cash Flow Statement'!G36*(1-'Cash Flow Statement'!G37)</f>
        <v>18</v>
      </c>
      <c r="H64" s="50">
        <f>'Cash Flow Statement'!H36*(1-'Cash Flow Statement'!H37)</f>
        <v>11.700000000000001</v>
      </c>
      <c r="I64" s="50">
        <f>'Cash Flow Statement'!I36*(1-'Cash Flow Statement'!I37)</f>
        <v>24.3</v>
      </c>
      <c r="J64" s="55">
        <f>'Cash Flow Statement'!J36*(1-'Cash Flow Statement'!J37)</f>
        <v>76.5</v>
      </c>
      <c r="K64" s="50">
        <f>'Cash Flow Statement'!K36*(1-'Cash Flow Statement'!K37)</f>
        <v>16.2</v>
      </c>
      <c r="L64" s="50">
        <f>'Cash Flow Statement'!L36*(1-'Cash Flow Statement'!L37)</f>
        <v>29.7</v>
      </c>
      <c r="M64" s="50">
        <f>'Cash Flow Statement'!M36*(1-'Cash Flow Statement'!M37)</f>
        <v>18.900000000000002</v>
      </c>
      <c r="N64" s="50">
        <f>'Cash Flow Statement'!N36*(1-'Cash Flow Statement'!N37)</f>
        <v>23.400000000000002</v>
      </c>
      <c r="O64" s="57">
        <f>'Cash Flow Statement'!O36*(1-'Cash Flow Statement'!O37)</f>
        <v>88.2</v>
      </c>
      <c r="P64" s="50">
        <f>P74*P69</f>
        <v>31.968063086150035</v>
      </c>
      <c r="Q64" s="50">
        <f>Q74*Q69</f>
        <v>23.157621100295202</v>
      </c>
      <c r="R64" s="50">
        <f>R74*R69</f>
        <v>32.840585646054173</v>
      </c>
      <c r="S64" s="50">
        <f>S74*S69</f>
        <v>31.931030104956712</v>
      </c>
      <c r="T64" s="55"/>
      <c r="U64" s="50">
        <f>U74*U69</f>
        <v>37.560066751956782</v>
      </c>
      <c r="V64" s="50">
        <f>V74*V69</f>
        <v>26.242870375139383</v>
      </c>
      <c r="W64" s="50">
        <f>W74*W69</f>
        <v>38.450901335562719</v>
      </c>
      <c r="X64" s="50">
        <f>X74*X69</f>
        <v>37.871000067418855</v>
      </c>
      <c r="Y64" s="57"/>
    </row>
    <row r="65" spans="2:27" x14ac:dyDescent="0.2">
      <c r="B65" s="259" t="s">
        <v>174</v>
      </c>
      <c r="C65" s="50"/>
      <c r="D65" s="50">
        <f>'Cash Flow Statement'!D12*-1</f>
        <v>-57</v>
      </c>
      <c r="E65" s="55">
        <f>'Cash Flow Statement'!E12*-1</f>
        <v>-305</v>
      </c>
      <c r="F65" s="50">
        <f>'Cash Flow Statement'!F12*-1</f>
        <v>-60</v>
      </c>
      <c r="G65" s="50">
        <f>'Cash Flow Statement'!G12*-1</f>
        <v>-56</v>
      </c>
      <c r="H65" s="50">
        <f>'Cash Flow Statement'!H12*-1</f>
        <v>-56</v>
      </c>
      <c r="I65" s="50">
        <f>'Cash Flow Statement'!I12*-1</f>
        <v>-53</v>
      </c>
      <c r="J65" s="55">
        <f>'Cash Flow Statement'!J12*-1</f>
        <v>-225</v>
      </c>
      <c r="K65" s="50">
        <f>'Cash Flow Statement'!K12*-1</f>
        <v>-55</v>
      </c>
      <c r="L65" s="50">
        <f>'Cash Flow Statement'!L12*-1</f>
        <v>-52</v>
      </c>
      <c r="M65" s="50">
        <f>'Cash Flow Statement'!M12*-1</f>
        <v>-46</v>
      </c>
      <c r="N65" s="50">
        <f>'Cash Flow Statement'!N12*-1</f>
        <v>-58</v>
      </c>
      <c r="O65" s="57">
        <f>'Cash Flow Statement'!O12*-1</f>
        <v>-211</v>
      </c>
      <c r="P65" s="50">
        <f>P74*P70</f>
        <v>-68.087076346099295</v>
      </c>
      <c r="Q65" s="50">
        <f t="shared" ref="Q65:X65" si="42">Q74*Q70</f>
        <v>-49.322184819290783</v>
      </c>
      <c r="R65" s="50">
        <f t="shared" si="42"/>
        <v>-69.945415714042568</v>
      </c>
      <c r="S65" s="50">
        <f t="shared" si="42"/>
        <v>-68.008201770212779</v>
      </c>
      <c r="T65" s="55"/>
      <c r="U65" s="50">
        <f t="shared" si="42"/>
        <v>-79.997187368321534</v>
      </c>
      <c r="V65" s="50">
        <f t="shared" si="42"/>
        <v>-55.893293064321519</v>
      </c>
      <c r="W65" s="50">
        <f t="shared" si="42"/>
        <v>-81.894528541049667</v>
      </c>
      <c r="X65" s="50">
        <f t="shared" si="42"/>
        <v>-80.659427690212766</v>
      </c>
      <c r="Y65" s="57"/>
    </row>
    <row r="66" spans="2:27" x14ac:dyDescent="0.2">
      <c r="B66" s="259" t="s">
        <v>175</v>
      </c>
      <c r="C66" s="50"/>
      <c r="D66" s="278">
        <v>43.6</v>
      </c>
      <c r="E66" s="279">
        <v>-392.6</v>
      </c>
      <c r="F66" s="278">
        <v>-403.5</v>
      </c>
      <c r="G66" s="278">
        <v>8</v>
      </c>
      <c r="H66" s="278">
        <v>-3.7</v>
      </c>
      <c r="I66" s="278">
        <v>-47.3</v>
      </c>
      <c r="J66" s="279">
        <v>-446.5</v>
      </c>
      <c r="K66" s="278">
        <v>13.8</v>
      </c>
      <c r="L66" s="278">
        <v>-3.7</v>
      </c>
      <c r="M66" s="278">
        <v>-12.9</v>
      </c>
      <c r="N66" s="278">
        <v>4408.6000000000004</v>
      </c>
      <c r="O66" s="280">
        <v>4405.8</v>
      </c>
      <c r="P66" s="50">
        <f>P71*P74</f>
        <v>4.0716832547251069</v>
      </c>
      <c r="Q66" s="50">
        <f t="shared" ref="Q66:X66" si="43">Q71*Q74</f>
        <v>2.9495217711263697</v>
      </c>
      <c r="R66" s="50">
        <f t="shared" si="43"/>
        <v>4.1828140256747766</v>
      </c>
      <c r="S66" s="50">
        <f t="shared" si="43"/>
        <v>4.0669664669425298</v>
      </c>
      <c r="T66" s="55"/>
      <c r="U66" s="50">
        <f t="shared" si="43"/>
        <v>4.7839212037390153</v>
      </c>
      <c r="V66" s="50">
        <f t="shared" si="43"/>
        <v>3.3424813875780246</v>
      </c>
      <c r="W66" s="50">
        <f t="shared" si="43"/>
        <v>4.897384326200438</v>
      </c>
      <c r="X66" s="50">
        <f t="shared" si="43"/>
        <v>4.8235239150603517</v>
      </c>
      <c r="Y66" s="57"/>
    </row>
    <row r="67" spans="2:27" x14ac:dyDescent="0.2">
      <c r="B67" s="65" t="s">
        <v>176</v>
      </c>
      <c r="C67" s="50">
        <f>C18</f>
        <v>3368</v>
      </c>
      <c r="D67" s="50">
        <f>SUM(D63:D66)</f>
        <v>3405</v>
      </c>
      <c r="E67" s="55">
        <f>D67</f>
        <v>3405</v>
      </c>
      <c r="F67" s="50">
        <f t="shared" ref="F67:S67" si="44">SUM(F63:F66)</f>
        <v>2964</v>
      </c>
      <c r="G67" s="50">
        <f t="shared" si="44"/>
        <v>2934</v>
      </c>
      <c r="H67" s="50">
        <f t="shared" si="44"/>
        <v>2886</v>
      </c>
      <c r="I67" s="50">
        <f t="shared" si="44"/>
        <v>2810</v>
      </c>
      <c r="J67" s="55">
        <f t="shared" si="44"/>
        <v>2810</v>
      </c>
      <c r="K67" s="50">
        <f t="shared" si="44"/>
        <v>2785</v>
      </c>
      <c r="L67" s="50">
        <f t="shared" si="44"/>
        <v>2759</v>
      </c>
      <c r="M67" s="50">
        <f t="shared" si="44"/>
        <v>2719</v>
      </c>
      <c r="N67" s="50">
        <f t="shared" si="44"/>
        <v>7093</v>
      </c>
      <c r="O67" s="57">
        <f t="shared" si="44"/>
        <v>7093</v>
      </c>
      <c r="P67" s="50">
        <f t="shared" si="44"/>
        <v>7060.9526699947764</v>
      </c>
      <c r="Q67" s="50">
        <f t="shared" si="44"/>
        <v>7037.737628046907</v>
      </c>
      <c r="R67" s="50">
        <f t="shared" si="44"/>
        <v>7004.8156120045933</v>
      </c>
      <c r="S67" s="50">
        <f t="shared" si="44"/>
        <v>6972.8054068062793</v>
      </c>
      <c r="T67" s="55"/>
      <c r="U67" s="50">
        <f>SUM(U63:U66)</f>
        <v>6935.152207393653</v>
      </c>
      <c r="V67" s="50">
        <f t="shared" ref="V67:X67" si="45">SUM(V63:V66)</f>
        <v>6908.8442660920491</v>
      </c>
      <c r="W67" s="50">
        <f t="shared" si="45"/>
        <v>6870.298023212762</v>
      </c>
      <c r="X67" s="50">
        <f t="shared" si="45"/>
        <v>6832.3331195050287</v>
      </c>
      <c r="Y67" s="57"/>
    </row>
    <row r="68" spans="2:27" x14ac:dyDescent="0.2">
      <c r="B68" s="65"/>
      <c r="C68" s="50"/>
      <c r="D68" s="50"/>
      <c r="E68" s="55"/>
      <c r="F68" s="50"/>
      <c r="G68" s="50"/>
      <c r="H68" s="50"/>
      <c r="I68" s="50"/>
      <c r="J68" s="55"/>
      <c r="K68" s="50"/>
      <c r="L68" s="50"/>
      <c r="M68" s="50"/>
      <c r="N68" s="50"/>
      <c r="O68" s="57"/>
      <c r="P68" s="50"/>
      <c r="Q68" s="50"/>
      <c r="R68" s="50"/>
      <c r="S68" s="50"/>
      <c r="T68" s="55"/>
      <c r="U68" s="50"/>
      <c r="V68" s="50"/>
      <c r="W68" s="50"/>
      <c r="X68" s="50"/>
      <c r="Y68" s="57"/>
    </row>
    <row r="69" spans="2:27" x14ac:dyDescent="0.2">
      <c r="B69" s="65" t="s">
        <v>177</v>
      </c>
      <c r="C69" s="187"/>
      <c r="D69" s="187">
        <f t="shared" ref="D69:O69" si="46">D64/C74</f>
        <v>9.7674418604651161E-2</v>
      </c>
      <c r="E69" s="184">
        <f t="shared" si="46"/>
        <v>0.43377609108159398</v>
      </c>
      <c r="F69" s="187">
        <f t="shared" si="46"/>
        <v>8.8097102584181672E-3</v>
      </c>
      <c r="G69" s="187">
        <f t="shared" si="46"/>
        <v>3.536345776031434E-2</v>
      </c>
      <c r="H69" s="187">
        <f t="shared" si="46"/>
        <v>2.392638036809816E-2</v>
      </c>
      <c r="I69" s="187">
        <f t="shared" si="46"/>
        <v>3.7384615384615384E-2</v>
      </c>
      <c r="J69" s="184">
        <f t="shared" si="46"/>
        <v>0.16381156316916487</v>
      </c>
      <c r="K69" s="187">
        <f t="shared" si="46"/>
        <v>7.659574468085106E-3</v>
      </c>
      <c r="L69" s="187">
        <f t="shared" si="46"/>
        <v>7.6153846153846155E-2</v>
      </c>
      <c r="M69" s="187">
        <f t="shared" si="46"/>
        <v>3.0000000000000002E-2</v>
      </c>
      <c r="N69" s="187">
        <f t="shared" si="46"/>
        <v>2.8817733990147785E-2</v>
      </c>
      <c r="O69" s="192">
        <f t="shared" si="46"/>
        <v>0.1177570093457944</v>
      </c>
      <c r="P69" s="257">
        <f>AVERAGE(K69:N69)</f>
        <v>3.5657788653019759E-2</v>
      </c>
      <c r="Q69" s="257">
        <f t="shared" ref="Q69:S70" si="47">P69</f>
        <v>3.5657788653019759E-2</v>
      </c>
      <c r="R69" s="257">
        <f t="shared" si="47"/>
        <v>3.5657788653019759E-2</v>
      </c>
      <c r="S69" s="257">
        <f t="shared" si="47"/>
        <v>3.5657788653019759E-2</v>
      </c>
      <c r="T69" s="184"/>
      <c r="U69" s="257">
        <f>S69</f>
        <v>3.5657788653019759E-2</v>
      </c>
      <c r="V69" s="257">
        <f t="shared" ref="V69:X70" si="48">U69</f>
        <v>3.5657788653019759E-2</v>
      </c>
      <c r="W69" s="257">
        <f t="shared" si="48"/>
        <v>3.5657788653019759E-2</v>
      </c>
      <c r="X69" s="257">
        <f t="shared" si="48"/>
        <v>3.5657788653019759E-2</v>
      </c>
      <c r="Y69" s="192"/>
      <c r="AA69" s="154" t="s">
        <v>178</v>
      </c>
    </row>
    <row r="70" spans="2:27" x14ac:dyDescent="0.2">
      <c r="B70" s="65" t="s">
        <v>179</v>
      </c>
      <c r="C70" s="187"/>
      <c r="D70" s="187">
        <f t="shared" ref="D70:O70" si="49">D65/C74</f>
        <v>-0.11046511627906977</v>
      </c>
      <c r="E70" s="184">
        <f t="shared" si="49"/>
        <v>-0.57874762808349145</v>
      </c>
      <c r="F70" s="187">
        <f t="shared" si="49"/>
        <v>-2.3492560689115115E-2</v>
      </c>
      <c r="G70" s="187">
        <f t="shared" si="49"/>
        <v>-0.1100196463654224</v>
      </c>
      <c r="H70" s="187">
        <f t="shared" si="49"/>
        <v>-0.11451942740286299</v>
      </c>
      <c r="I70" s="187">
        <f t="shared" si="49"/>
        <v>-8.1538461538461532E-2</v>
      </c>
      <c r="J70" s="184">
        <f t="shared" si="49"/>
        <v>-0.4817987152034261</v>
      </c>
      <c r="K70" s="187">
        <f t="shared" si="49"/>
        <v>-2.6004728132387706E-2</v>
      </c>
      <c r="L70" s="187">
        <f t="shared" si="49"/>
        <v>-0.13333333333333333</v>
      </c>
      <c r="M70" s="187">
        <f t="shared" si="49"/>
        <v>-7.301587301587302E-2</v>
      </c>
      <c r="N70" s="187">
        <f t="shared" si="49"/>
        <v>-7.1428571428571425E-2</v>
      </c>
      <c r="O70" s="192">
        <f t="shared" si="49"/>
        <v>-0.28170894526034712</v>
      </c>
      <c r="P70" s="257">
        <f>AVERAGE(K70:N70)</f>
        <v>-7.5945626477541384E-2</v>
      </c>
      <c r="Q70" s="257">
        <f t="shared" si="47"/>
        <v>-7.5945626477541384E-2</v>
      </c>
      <c r="R70" s="257">
        <f t="shared" si="47"/>
        <v>-7.5945626477541384E-2</v>
      </c>
      <c r="S70" s="257">
        <f t="shared" si="47"/>
        <v>-7.5945626477541384E-2</v>
      </c>
      <c r="T70" s="270"/>
      <c r="U70" s="257">
        <f>S70</f>
        <v>-7.5945626477541384E-2</v>
      </c>
      <c r="V70" s="257">
        <f t="shared" si="48"/>
        <v>-7.5945626477541384E-2</v>
      </c>
      <c r="W70" s="257">
        <f t="shared" si="48"/>
        <v>-7.5945626477541384E-2</v>
      </c>
      <c r="X70" s="257">
        <f t="shared" si="48"/>
        <v>-7.5945626477541384E-2</v>
      </c>
      <c r="Y70" s="192"/>
      <c r="AA70" s="154" t="s">
        <v>178</v>
      </c>
    </row>
    <row r="71" spans="2:27" x14ac:dyDescent="0.2">
      <c r="B71" s="66" t="s">
        <v>180</v>
      </c>
      <c r="C71" s="188"/>
      <c r="D71" s="188">
        <f>D66/D74</f>
        <v>8.2732447817836813E-2</v>
      </c>
      <c r="E71" s="191">
        <f t="shared" ref="E71:O71" si="50">E66/E74</f>
        <v>-0.15371965544244323</v>
      </c>
      <c r="F71" s="188">
        <f t="shared" si="50"/>
        <v>-0.79273084479371314</v>
      </c>
      <c r="G71" s="188">
        <f t="shared" si="50"/>
        <v>1.6359918200408999E-2</v>
      </c>
      <c r="H71" s="188">
        <f t="shared" si="50"/>
        <v>-5.6923076923076927E-3</v>
      </c>
      <c r="I71" s="188">
        <f t="shared" si="50"/>
        <v>-0.10128479657387579</v>
      </c>
      <c r="J71" s="191">
        <f t="shared" si="50"/>
        <v>-0.21111111111111111</v>
      </c>
      <c r="K71" s="188">
        <f t="shared" si="50"/>
        <v>3.5384615384615389E-2</v>
      </c>
      <c r="L71" s="188">
        <f t="shared" si="50"/>
        <v>-5.8730158730158737E-3</v>
      </c>
      <c r="M71" s="188">
        <f t="shared" si="50"/>
        <v>-1.5886699507389163E-2</v>
      </c>
      <c r="N71" s="188">
        <f t="shared" si="50"/>
        <v>5.8859813084112158</v>
      </c>
      <c r="O71" s="193">
        <f t="shared" si="50"/>
        <v>1.7070127857419606</v>
      </c>
      <c r="P71" s="256">
        <f>AVERAGE(K71:M71)</f>
        <v>4.5416333347367841E-3</v>
      </c>
      <c r="Q71" s="256">
        <f>P71</f>
        <v>4.5416333347367841E-3</v>
      </c>
      <c r="R71" s="256">
        <f t="shared" ref="R71:S71" si="51">Q71</f>
        <v>4.5416333347367841E-3</v>
      </c>
      <c r="S71" s="256">
        <f t="shared" si="51"/>
        <v>4.5416333347367841E-3</v>
      </c>
      <c r="T71" s="271"/>
      <c r="U71" s="256">
        <f>S71</f>
        <v>4.5416333347367841E-3</v>
      </c>
      <c r="V71" s="256">
        <f>U71</f>
        <v>4.5416333347367841E-3</v>
      </c>
      <c r="W71" s="256">
        <f t="shared" ref="W71:X71" si="52">V71</f>
        <v>4.5416333347367841E-3</v>
      </c>
      <c r="X71" s="256">
        <f t="shared" si="52"/>
        <v>4.5416333347367841E-3</v>
      </c>
      <c r="Y71" s="193"/>
      <c r="AA71" s="154" t="s">
        <v>181</v>
      </c>
    </row>
    <row r="72" spans="2:27" x14ac:dyDescent="0.2">
      <c r="C72" s="50"/>
      <c r="D72" s="50"/>
      <c r="E72" s="55"/>
      <c r="F72" s="50"/>
      <c r="G72" s="50"/>
      <c r="H72" s="50"/>
      <c r="I72" s="50"/>
      <c r="J72" s="55"/>
      <c r="K72" s="50"/>
      <c r="L72" s="50"/>
      <c r="M72" s="50"/>
      <c r="N72" s="50"/>
      <c r="O72" s="57"/>
      <c r="P72" s="50"/>
      <c r="Q72" s="50"/>
      <c r="R72" s="50"/>
      <c r="S72" s="50"/>
      <c r="T72" s="55"/>
      <c r="U72" s="50"/>
      <c r="V72" s="50"/>
      <c r="W72" s="50"/>
      <c r="X72" s="50"/>
      <c r="Y72" s="55"/>
    </row>
    <row r="73" spans="2:27" x14ac:dyDescent="0.2">
      <c r="B73" s="90" t="s">
        <v>182</v>
      </c>
      <c r="C73" s="265"/>
      <c r="D73" s="265"/>
      <c r="E73" s="266"/>
      <c r="F73" s="265"/>
      <c r="G73" s="265"/>
      <c r="H73" s="265"/>
      <c r="I73" s="265"/>
      <c r="J73" s="266"/>
      <c r="K73" s="265"/>
      <c r="L73" s="265"/>
      <c r="M73" s="265"/>
      <c r="N73" s="265"/>
      <c r="O73" s="267"/>
      <c r="P73" s="50"/>
      <c r="Q73" s="50"/>
      <c r="R73" s="50"/>
      <c r="S73" s="50"/>
      <c r="T73" s="55"/>
      <c r="U73" s="50"/>
      <c r="V73" s="50"/>
      <c r="W73" s="50"/>
      <c r="X73" s="50"/>
      <c r="Y73" s="55"/>
    </row>
    <row r="74" spans="2:27" hidden="1" outlineLevel="1" x14ac:dyDescent="0.2">
      <c r="B74" s="179" t="s">
        <v>183</v>
      </c>
      <c r="C74" s="50">
        <f>'Income Statement'!C7</f>
        <v>516</v>
      </c>
      <c r="D74" s="50">
        <f>'Income Statement'!D7</f>
        <v>527</v>
      </c>
      <c r="E74" s="55">
        <f>'Income Statement'!E7</f>
        <v>2554</v>
      </c>
      <c r="F74" s="50">
        <f>'Income Statement'!F7</f>
        <v>509</v>
      </c>
      <c r="G74" s="50">
        <f>'Income Statement'!G7</f>
        <v>489</v>
      </c>
      <c r="H74" s="50">
        <f>'Income Statement'!H7</f>
        <v>650</v>
      </c>
      <c r="I74" s="50">
        <f>'Income Statement'!I7</f>
        <v>467</v>
      </c>
      <c r="J74" s="55">
        <f>'Income Statement'!J7</f>
        <v>2115</v>
      </c>
      <c r="K74" s="50">
        <f>'Income Statement'!K7</f>
        <v>390</v>
      </c>
      <c r="L74" s="50">
        <f>'Income Statement'!L7</f>
        <v>630</v>
      </c>
      <c r="M74" s="50">
        <f>'Income Statement'!M7</f>
        <v>812</v>
      </c>
      <c r="N74" s="50">
        <f>'Income Statement'!N7</f>
        <v>749</v>
      </c>
      <c r="O74" s="211">
        <f>'Income Statement'!O7</f>
        <v>2581</v>
      </c>
      <c r="P74" s="212">
        <f>'Income Statement'!P7</f>
        <v>896.52399359999993</v>
      </c>
      <c r="Q74" s="177">
        <f>'Income Statement'!Q7</f>
        <v>649.44075263999991</v>
      </c>
      <c r="R74" s="177">
        <f>'Income Statement'!R7</f>
        <v>920.99333376000004</v>
      </c>
      <c r="S74" s="177">
        <f>'Income Statement'!S7</f>
        <v>895.4854272</v>
      </c>
      <c r="T74" s="211">
        <f>'Income Statement'!T7</f>
        <v>3362.4435071999997</v>
      </c>
      <c r="U74" s="177">
        <f>'Income Statement'!U7</f>
        <v>1053.3481792</v>
      </c>
      <c r="V74" s="177">
        <f>'Income Statement'!V7</f>
        <v>735.96460595199994</v>
      </c>
      <c r="W74" s="177">
        <f>'Income Statement'!W7</f>
        <v>1078.3310684160001</v>
      </c>
      <c r="X74" s="177">
        <f>'Income Statement'!X7</f>
        <v>1062.0681062399999</v>
      </c>
      <c r="Y74" s="194">
        <f>'Income Statement'!Y7</f>
        <v>3929.7119598079998</v>
      </c>
    </row>
    <row r="75" spans="2:27" hidden="1" outlineLevel="1" x14ac:dyDescent="0.2">
      <c r="B75" s="65" t="s">
        <v>184</v>
      </c>
      <c r="C75" s="50">
        <f>'Income Statement'!C10</f>
        <v>256</v>
      </c>
      <c r="D75" s="50">
        <f>'Income Statement'!D10</f>
        <v>151</v>
      </c>
      <c r="E75" s="55">
        <f>'Income Statement'!E10</f>
        <v>867</v>
      </c>
      <c r="F75" s="50">
        <f>'Income Statement'!F10</f>
        <v>212</v>
      </c>
      <c r="G75" s="50">
        <f>'Income Statement'!G10</f>
        <v>176</v>
      </c>
      <c r="H75" s="50">
        <f>'Income Statement'!H10</f>
        <v>245</v>
      </c>
      <c r="I75" s="50">
        <f>'Income Statement'!I10</f>
        <v>164</v>
      </c>
      <c r="J75" s="55">
        <f>'Income Statement'!J10</f>
        <v>797</v>
      </c>
      <c r="K75" s="50">
        <f>'Income Statement'!K10</f>
        <v>235</v>
      </c>
      <c r="L75" s="50">
        <f>'Income Statement'!L10</f>
        <v>252</v>
      </c>
      <c r="M75" s="50">
        <f>'Income Statement'!M10</f>
        <v>292</v>
      </c>
      <c r="N75" s="50">
        <f>'Income Statement'!N10</f>
        <v>287</v>
      </c>
      <c r="O75" s="57">
        <f>'Income Statement'!O10</f>
        <v>1066</v>
      </c>
      <c r="P75" s="50">
        <f>'Income Statement'!P10</f>
        <v>313.78339775999996</v>
      </c>
      <c r="Q75" s="50">
        <f>'Income Statement'!Q10</f>
        <v>227.30426342399994</v>
      </c>
      <c r="R75" s="50">
        <f>'Income Statement'!R10</f>
        <v>322.34766681600001</v>
      </c>
      <c r="S75" s="50">
        <f>'Income Statement'!S10</f>
        <v>313.41989951999994</v>
      </c>
      <c r="T75" s="55">
        <f>'Income Statement'!T10</f>
        <v>1176.85522752</v>
      </c>
      <c r="U75" s="50">
        <f>'Income Statement'!U10</f>
        <v>347.60489913599997</v>
      </c>
      <c r="V75" s="50">
        <f>'Income Statement'!V10</f>
        <v>242.86831996415998</v>
      </c>
      <c r="W75" s="50">
        <f>'Income Statement'!W10</f>
        <v>355.84925257728003</v>
      </c>
      <c r="X75" s="50">
        <f>'Income Statement'!X10</f>
        <v>350.48247505919994</v>
      </c>
      <c r="Y75" s="57">
        <f>'Income Statement'!Y10</f>
        <v>1296.80494673664</v>
      </c>
    </row>
    <row r="76" spans="2:27" hidden="1" outlineLevel="1" x14ac:dyDescent="0.2">
      <c r="B76" s="178"/>
      <c r="C76" s="50"/>
      <c r="D76" s="50"/>
      <c r="E76" s="55"/>
      <c r="F76" s="50"/>
      <c r="G76" s="50"/>
      <c r="H76" s="50"/>
      <c r="I76" s="50"/>
      <c r="J76" s="55"/>
      <c r="K76" s="50"/>
      <c r="L76" s="50"/>
      <c r="M76" s="50"/>
      <c r="N76" s="50"/>
      <c r="O76" s="57"/>
      <c r="P76" s="50"/>
      <c r="Q76" s="50"/>
      <c r="R76" s="50"/>
      <c r="S76" s="50"/>
      <c r="T76" s="55"/>
      <c r="U76" s="50"/>
      <c r="V76" s="50"/>
      <c r="W76" s="50"/>
      <c r="X76" s="50"/>
      <c r="Y76" s="57"/>
    </row>
    <row r="77" spans="2:27" collapsed="1" x14ac:dyDescent="0.2">
      <c r="B77" s="65" t="s">
        <v>185</v>
      </c>
      <c r="C77" s="50">
        <f t="shared" ref="C77:O77" si="53">C10</f>
        <v>168</v>
      </c>
      <c r="D77" s="50">
        <f t="shared" si="53"/>
        <v>137</v>
      </c>
      <c r="E77" s="55">
        <f t="shared" si="53"/>
        <v>137</v>
      </c>
      <c r="F77" s="50">
        <f t="shared" si="53"/>
        <v>126</v>
      </c>
      <c r="G77" s="50">
        <f t="shared" si="53"/>
        <v>151</v>
      </c>
      <c r="H77" s="50">
        <f t="shared" si="53"/>
        <v>97</v>
      </c>
      <c r="I77" s="50">
        <f t="shared" si="53"/>
        <v>123</v>
      </c>
      <c r="J77" s="55">
        <f t="shared" si="53"/>
        <v>123</v>
      </c>
      <c r="K77" s="50">
        <f t="shared" si="53"/>
        <v>100</v>
      </c>
      <c r="L77" s="50">
        <f t="shared" si="53"/>
        <v>226</v>
      </c>
      <c r="M77" s="50">
        <f t="shared" si="53"/>
        <v>180</v>
      </c>
      <c r="N77" s="50">
        <f t="shared" si="53"/>
        <v>196</v>
      </c>
      <c r="O77" s="57">
        <f t="shared" si="53"/>
        <v>196</v>
      </c>
      <c r="P77" s="212">
        <f>P84*P74/365</f>
        <v>246.20734925463867</v>
      </c>
      <c r="Q77" s="177">
        <f t="shared" ref="Q77:X77" si="54">Q84*Q74/365</f>
        <v>178.35226647238267</v>
      </c>
      <c r="R77" s="177">
        <f t="shared" si="54"/>
        <v>252.92722671671547</v>
      </c>
      <c r="S77" s="177">
        <f t="shared" si="54"/>
        <v>245.92213359706088</v>
      </c>
      <c r="T77" s="211"/>
      <c r="U77" s="177">
        <f>U84*U74/365</f>
        <v>289.27509458128588</v>
      </c>
      <c r="V77" s="177">
        <f t="shared" si="54"/>
        <v>202.11382636739796</v>
      </c>
      <c r="W77" s="177">
        <f t="shared" si="54"/>
        <v>296.13600513638931</v>
      </c>
      <c r="X77" s="177">
        <f t="shared" si="54"/>
        <v>291.66979917094369</v>
      </c>
      <c r="Y77" s="194"/>
    </row>
    <row r="78" spans="2:27" x14ac:dyDescent="0.2">
      <c r="B78" s="65" t="s">
        <v>133</v>
      </c>
      <c r="C78" s="50">
        <f t="shared" ref="C78:O78" si="55">C11</f>
        <v>298</v>
      </c>
      <c r="D78" s="50">
        <f t="shared" si="55"/>
        <v>375</v>
      </c>
      <c r="E78" s="55">
        <f t="shared" si="55"/>
        <v>375</v>
      </c>
      <c r="F78" s="50">
        <f t="shared" si="55"/>
        <v>279</v>
      </c>
      <c r="G78" s="50">
        <f t="shared" si="55"/>
        <v>280</v>
      </c>
      <c r="H78" s="50">
        <f t="shared" si="55"/>
        <v>297</v>
      </c>
      <c r="I78" s="50">
        <f t="shared" si="55"/>
        <v>302</v>
      </c>
      <c r="J78" s="55">
        <f t="shared" si="55"/>
        <v>302</v>
      </c>
      <c r="K78" s="50">
        <f t="shared" si="55"/>
        <v>219</v>
      </c>
      <c r="L78" s="50">
        <f t="shared" si="55"/>
        <v>224</v>
      </c>
      <c r="M78" s="50">
        <f t="shared" si="55"/>
        <v>263</v>
      </c>
      <c r="N78" s="50">
        <f t="shared" si="55"/>
        <v>278</v>
      </c>
      <c r="O78" s="57">
        <f t="shared" si="55"/>
        <v>278</v>
      </c>
      <c r="P78" s="50">
        <f>P85*P74/365</f>
        <v>827.0724827983463</v>
      </c>
      <c r="Q78" s="50">
        <f t="shared" ref="Q78:X78" si="56">Q85*Q74/365</f>
        <v>599.13017337051156</v>
      </c>
      <c r="R78" s="50">
        <f t="shared" si="56"/>
        <v>849.64624330340871</v>
      </c>
      <c r="S78" s="50">
        <f t="shared" si="56"/>
        <v>826.11437158533818</v>
      </c>
      <c r="T78" s="55"/>
      <c r="U78" s="50">
        <f t="shared" si="56"/>
        <v>971.74788409596158</v>
      </c>
      <c r="V78" s="50">
        <f t="shared" si="56"/>
        <v>678.95123637706865</v>
      </c>
      <c r="W78" s="50">
        <f t="shared" si="56"/>
        <v>994.79541027357357</v>
      </c>
      <c r="X78" s="50">
        <f t="shared" si="56"/>
        <v>979.79229981520325</v>
      </c>
      <c r="Y78" s="57"/>
    </row>
    <row r="79" spans="2:27" x14ac:dyDescent="0.2">
      <c r="B79" s="65" t="s">
        <v>186</v>
      </c>
      <c r="C79" s="50">
        <f t="shared" ref="C79:O79" si="57">C32</f>
        <v>289</v>
      </c>
      <c r="D79" s="50">
        <f t="shared" si="57"/>
        <v>344</v>
      </c>
      <c r="E79" s="55">
        <f t="shared" si="57"/>
        <v>344</v>
      </c>
      <c r="F79" s="50">
        <f t="shared" si="57"/>
        <v>177</v>
      </c>
      <c r="G79" s="50">
        <f t="shared" si="57"/>
        <v>212</v>
      </c>
      <c r="H79" s="50">
        <f t="shared" si="57"/>
        <v>210</v>
      </c>
      <c r="I79" s="50">
        <f t="shared" si="57"/>
        <v>266</v>
      </c>
      <c r="J79" s="55">
        <f t="shared" si="57"/>
        <v>266</v>
      </c>
      <c r="K79" s="50">
        <f t="shared" si="57"/>
        <v>203</v>
      </c>
      <c r="L79" s="50">
        <f t="shared" si="57"/>
        <v>226</v>
      </c>
      <c r="M79" s="50">
        <f t="shared" si="57"/>
        <v>192</v>
      </c>
      <c r="N79" s="50">
        <f t="shared" si="57"/>
        <v>281</v>
      </c>
      <c r="O79" s="57">
        <f t="shared" si="57"/>
        <v>281</v>
      </c>
      <c r="P79" s="50">
        <f>P86*P74/365</f>
        <v>334.14862844621808</v>
      </c>
      <c r="Q79" s="50">
        <f t="shared" ref="Q79:X79" si="58">Q86*Q74/365</f>
        <v>242.05680863077748</v>
      </c>
      <c r="R79" s="50">
        <f>R86*R74/365</f>
        <v>343.26873734661194</v>
      </c>
      <c r="S79" s="50">
        <f t="shared" si="58"/>
        <v>333.76153837323881</v>
      </c>
      <c r="T79" s="55"/>
      <c r="U79" s="50">
        <f>U86*U74/365</f>
        <v>392.59947516032798</v>
      </c>
      <c r="V79" s="50">
        <f t="shared" si="58"/>
        <v>274.30561303364783</v>
      </c>
      <c r="W79" s="50">
        <f t="shared" si="58"/>
        <v>401.91099189132899</v>
      </c>
      <c r="X79" s="50">
        <f t="shared" si="58"/>
        <v>395.84952946045536</v>
      </c>
      <c r="Y79" s="57"/>
    </row>
    <row r="80" spans="2:27" x14ac:dyDescent="0.2">
      <c r="B80" s="65" t="s">
        <v>135</v>
      </c>
      <c r="C80" s="50">
        <f t="shared" ref="C80:O80" si="59">C13</f>
        <v>123</v>
      </c>
      <c r="D80" s="50">
        <f t="shared" si="59"/>
        <v>52</v>
      </c>
      <c r="E80" s="55">
        <f t="shared" si="59"/>
        <v>52</v>
      </c>
      <c r="F80" s="50">
        <f t="shared" si="59"/>
        <v>598</v>
      </c>
      <c r="G80" s="50">
        <f t="shared" si="59"/>
        <v>380</v>
      </c>
      <c r="H80" s="50">
        <f t="shared" si="59"/>
        <v>97</v>
      </c>
      <c r="I80" s="50">
        <f t="shared" si="59"/>
        <v>184</v>
      </c>
      <c r="J80" s="55">
        <f t="shared" si="59"/>
        <v>184</v>
      </c>
      <c r="K80" s="50">
        <f t="shared" si="59"/>
        <v>174</v>
      </c>
      <c r="L80" s="50">
        <f t="shared" si="59"/>
        <v>165</v>
      </c>
      <c r="M80" s="50">
        <f t="shared" si="59"/>
        <v>63</v>
      </c>
      <c r="N80" s="50">
        <f t="shared" si="59"/>
        <v>67</v>
      </c>
      <c r="O80" s="57">
        <f t="shared" si="59"/>
        <v>67</v>
      </c>
      <c r="P80" s="50">
        <f>P87*P74</f>
        <v>196.13645808918386</v>
      </c>
      <c r="Q80" s="50">
        <f t="shared" ref="Q80:X80" si="60">Q87*Q74</f>
        <v>142.08098151404943</v>
      </c>
      <c r="R80" s="50">
        <f t="shared" si="60"/>
        <v>201.48972219033757</v>
      </c>
      <c r="S80" s="50">
        <f t="shared" si="60"/>
        <v>195.90924639530778</v>
      </c>
      <c r="T80" s="55"/>
      <c r="U80" s="50">
        <f t="shared" si="60"/>
        <v>210.66963584000001</v>
      </c>
      <c r="V80" s="50">
        <f t="shared" si="60"/>
        <v>147.1929211904</v>
      </c>
      <c r="W80" s="50">
        <f t="shared" si="60"/>
        <v>215.66621368320003</v>
      </c>
      <c r="X80" s="50">
        <f t="shared" si="60"/>
        <v>212.413621248</v>
      </c>
      <c r="Y80" s="57"/>
    </row>
    <row r="81" spans="2:27" x14ac:dyDescent="0.2">
      <c r="B81" s="65" t="s">
        <v>187</v>
      </c>
      <c r="C81" s="50">
        <f t="shared" ref="C81:O81" si="61">C35</f>
        <v>85</v>
      </c>
      <c r="D81" s="50">
        <f t="shared" si="61"/>
        <v>69</v>
      </c>
      <c r="E81" s="55">
        <f t="shared" si="61"/>
        <v>69</v>
      </c>
      <c r="F81" s="50">
        <f t="shared" si="61"/>
        <v>115</v>
      </c>
      <c r="G81" s="50">
        <f t="shared" si="61"/>
        <v>118</v>
      </c>
      <c r="H81" s="50">
        <f t="shared" si="61"/>
        <v>129</v>
      </c>
      <c r="I81" s="50">
        <f t="shared" si="61"/>
        <v>154</v>
      </c>
      <c r="J81" s="55">
        <f t="shared" si="61"/>
        <v>154</v>
      </c>
      <c r="K81" s="50">
        <f t="shared" si="61"/>
        <v>156</v>
      </c>
      <c r="L81" s="50">
        <f t="shared" si="61"/>
        <v>147</v>
      </c>
      <c r="M81" s="50">
        <f t="shared" si="61"/>
        <v>151</v>
      </c>
      <c r="N81" s="50">
        <f t="shared" si="61"/>
        <v>78</v>
      </c>
      <c r="O81" s="57">
        <f t="shared" si="61"/>
        <v>78</v>
      </c>
      <c r="P81" s="50">
        <f>P88*P74</f>
        <v>206.96991010039682</v>
      </c>
      <c r="Q81" s="50">
        <f t="shared" ref="Q81:X81" si="62">Q88*Q74</f>
        <v>149.92871930810401</v>
      </c>
      <c r="R81" s="50">
        <f t="shared" si="62"/>
        <v>212.6188577797501</v>
      </c>
      <c r="S81" s="50">
        <f t="shared" si="62"/>
        <v>206.730148536874</v>
      </c>
      <c r="T81" s="55"/>
      <c r="U81" s="50">
        <f t="shared" si="62"/>
        <v>243.17405837406994</v>
      </c>
      <c r="V81" s="50">
        <f t="shared" si="62"/>
        <v>169.9034598274464</v>
      </c>
      <c r="W81" s="50">
        <f t="shared" si="62"/>
        <v>248.94156306105629</v>
      </c>
      <c r="X81" s="50">
        <f t="shared" si="62"/>
        <v>245.18712498292194</v>
      </c>
      <c r="Y81" s="57"/>
    </row>
    <row r="82" spans="2:27" x14ac:dyDescent="0.2">
      <c r="B82" s="65"/>
      <c r="C82" s="50"/>
      <c r="D82" s="50"/>
      <c r="E82" s="55"/>
      <c r="F82" s="50"/>
      <c r="G82" s="50"/>
      <c r="H82" s="50"/>
      <c r="I82" s="50"/>
      <c r="J82" s="55"/>
      <c r="K82" s="50"/>
      <c r="L82" s="50"/>
      <c r="M82" s="50"/>
      <c r="N82" s="50"/>
      <c r="O82" s="57"/>
      <c r="P82" s="50"/>
      <c r="Q82" s="50"/>
      <c r="R82" s="50"/>
      <c r="S82" s="50"/>
      <c r="T82" s="55"/>
      <c r="U82" s="50"/>
      <c r="V82" s="50"/>
      <c r="W82" s="50"/>
      <c r="X82" s="50"/>
      <c r="Y82" s="57"/>
    </row>
    <row r="83" spans="2:27" x14ac:dyDescent="0.2">
      <c r="B83" s="65"/>
      <c r="C83" s="50"/>
      <c r="D83" s="50"/>
      <c r="E83" s="55"/>
      <c r="F83" s="50"/>
      <c r="G83" s="50"/>
      <c r="H83" s="50"/>
      <c r="I83" s="50"/>
      <c r="J83" s="55"/>
      <c r="K83" s="50"/>
      <c r="L83" s="50"/>
      <c r="M83" s="50"/>
      <c r="N83" s="50"/>
      <c r="O83" s="57"/>
      <c r="P83" s="50"/>
      <c r="Q83" s="50"/>
      <c r="R83" s="50"/>
      <c r="S83" s="50"/>
      <c r="T83" s="55"/>
      <c r="U83" s="50"/>
      <c r="V83" s="50"/>
      <c r="W83" s="50"/>
      <c r="X83" s="50"/>
      <c r="Y83" s="57"/>
    </row>
    <row r="84" spans="2:27" x14ac:dyDescent="0.2">
      <c r="B84" s="153" t="s">
        <v>188</v>
      </c>
      <c r="C84" s="50">
        <f>C77*365/C74</f>
        <v>118.83720930232558</v>
      </c>
      <c r="D84" s="50">
        <f t="shared" ref="D84:N84" si="63">D77*365/D74</f>
        <v>94.886148007590137</v>
      </c>
      <c r="E84" s="55">
        <f t="shared" si="63"/>
        <v>19.579091620986688</v>
      </c>
      <c r="F84" s="50">
        <f t="shared" si="63"/>
        <v>90.353634577603145</v>
      </c>
      <c r="G84" s="50">
        <f t="shared" si="63"/>
        <v>112.70961145194273</v>
      </c>
      <c r="H84" s="50">
        <f t="shared" si="63"/>
        <v>54.469230769230769</v>
      </c>
      <c r="I84" s="50">
        <f t="shared" si="63"/>
        <v>96.134903640256965</v>
      </c>
      <c r="J84" s="55">
        <f t="shared" si="63"/>
        <v>21.226950354609929</v>
      </c>
      <c r="K84" s="50">
        <f t="shared" si="63"/>
        <v>93.589743589743591</v>
      </c>
      <c r="L84" s="50">
        <f t="shared" si="63"/>
        <v>130.93650793650792</v>
      </c>
      <c r="M84" s="50">
        <f t="shared" si="63"/>
        <v>80.911330049261082</v>
      </c>
      <c r="N84" s="50">
        <f t="shared" si="63"/>
        <v>95.514018691588788</v>
      </c>
      <c r="O84" s="57">
        <f>O77*365/O74</f>
        <v>27.717938783417281</v>
      </c>
      <c r="P84" s="258">
        <f>AVERAGE(K84:N84)</f>
        <v>100.23790006677534</v>
      </c>
      <c r="Q84" s="258">
        <f>P84</f>
        <v>100.23790006677534</v>
      </c>
      <c r="R84" s="258">
        <f>Q84</f>
        <v>100.23790006677534</v>
      </c>
      <c r="S84" s="258">
        <f>R84</f>
        <v>100.23790006677534</v>
      </c>
      <c r="T84" s="55"/>
      <c r="U84" s="258">
        <f>AVERAGE(P84:S84)</f>
        <v>100.23790006677534</v>
      </c>
      <c r="V84" s="258">
        <f>U84</f>
        <v>100.23790006677534</v>
      </c>
      <c r="W84" s="258">
        <f>V84</f>
        <v>100.23790006677534</v>
      </c>
      <c r="X84" s="258">
        <f>W84</f>
        <v>100.23790006677534</v>
      </c>
      <c r="Y84" s="192"/>
      <c r="AA84" s="154" t="s">
        <v>178</v>
      </c>
    </row>
    <row r="85" spans="2:27" x14ac:dyDescent="0.2">
      <c r="B85" s="153" t="s">
        <v>189</v>
      </c>
      <c r="C85" s="50">
        <f>C78*365/C75</f>
        <v>424.8828125</v>
      </c>
      <c r="D85" s="50">
        <f t="shared" ref="D85:N85" si="64">D78*365/D75</f>
        <v>906.45695364238406</v>
      </c>
      <c r="E85" s="55">
        <f t="shared" si="64"/>
        <v>157.87197231833909</v>
      </c>
      <c r="F85" s="50">
        <f t="shared" si="64"/>
        <v>480.35377358490564</v>
      </c>
      <c r="G85" s="50">
        <f t="shared" si="64"/>
        <v>580.68181818181813</v>
      </c>
      <c r="H85" s="50">
        <f t="shared" si="64"/>
        <v>442.46938775510205</v>
      </c>
      <c r="I85" s="50">
        <f t="shared" si="64"/>
        <v>672.13414634146341</v>
      </c>
      <c r="J85" s="55">
        <f t="shared" si="64"/>
        <v>138.30614805520702</v>
      </c>
      <c r="K85" s="50">
        <f t="shared" si="64"/>
        <v>340.14893617021278</v>
      </c>
      <c r="L85" s="50">
        <f t="shared" si="64"/>
        <v>324.44444444444446</v>
      </c>
      <c r="M85" s="50">
        <f t="shared" si="64"/>
        <v>328.75</v>
      </c>
      <c r="N85" s="50">
        <f t="shared" si="64"/>
        <v>353.55400696864109</v>
      </c>
      <c r="O85" s="57">
        <f>O78*365/O75</f>
        <v>95.187617260787988</v>
      </c>
      <c r="P85" s="258">
        <f>AVERAGE(K85:N85)</f>
        <v>336.72434689582457</v>
      </c>
      <c r="Q85" s="258">
        <f>P85</f>
        <v>336.72434689582457</v>
      </c>
      <c r="R85" s="258">
        <f t="shared" ref="R85:S85" si="65">Q85</f>
        <v>336.72434689582457</v>
      </c>
      <c r="S85" s="258">
        <f t="shared" si="65"/>
        <v>336.72434689582457</v>
      </c>
      <c r="T85" s="55"/>
      <c r="U85" s="258">
        <f>AVERAGE(P85:S85)</f>
        <v>336.72434689582457</v>
      </c>
      <c r="V85" s="258">
        <f>U85</f>
        <v>336.72434689582457</v>
      </c>
      <c r="W85" s="258">
        <f t="shared" ref="W85:X85" si="66">V85</f>
        <v>336.72434689582457</v>
      </c>
      <c r="X85" s="258">
        <f t="shared" si="66"/>
        <v>336.72434689582457</v>
      </c>
      <c r="Y85" s="192"/>
      <c r="AA85" s="154" t="s">
        <v>178</v>
      </c>
    </row>
    <row r="86" spans="2:27" x14ac:dyDescent="0.2">
      <c r="B86" s="153" t="s">
        <v>190</v>
      </c>
      <c r="C86" s="50">
        <f>C79*365/C74</f>
        <v>204.4282945736434</v>
      </c>
      <c r="D86" s="50">
        <f t="shared" ref="D86:O86" si="67">D79*365/D74</f>
        <v>238.25426944971537</v>
      </c>
      <c r="E86" s="55">
        <f t="shared" si="67"/>
        <v>49.162098668754894</v>
      </c>
      <c r="F86" s="50">
        <f t="shared" si="67"/>
        <v>126.9253438113949</v>
      </c>
      <c r="G86" s="50">
        <f t="shared" si="67"/>
        <v>158.24130879345603</v>
      </c>
      <c r="H86" s="50">
        <f t="shared" si="67"/>
        <v>117.92307692307692</v>
      </c>
      <c r="I86" s="50">
        <f t="shared" si="67"/>
        <v>207.90149892933619</v>
      </c>
      <c r="J86" s="55">
        <f t="shared" si="67"/>
        <v>45.905437352245862</v>
      </c>
      <c r="K86" s="50">
        <f t="shared" si="67"/>
        <v>189.98717948717947</v>
      </c>
      <c r="L86" s="50">
        <f t="shared" si="67"/>
        <v>130.93650793650792</v>
      </c>
      <c r="M86" s="50">
        <f t="shared" si="67"/>
        <v>86.305418719211829</v>
      </c>
      <c r="N86" s="50">
        <f t="shared" si="67"/>
        <v>136.93591455273699</v>
      </c>
      <c r="O86" s="57">
        <f t="shared" si="67"/>
        <v>39.738473459899261</v>
      </c>
      <c r="P86" s="258">
        <f>AVERAGE(K86:N86)</f>
        <v>136.04125517390906</v>
      </c>
      <c r="Q86" s="258">
        <f>P86</f>
        <v>136.04125517390906</v>
      </c>
      <c r="R86" s="258">
        <f t="shared" ref="R86:S86" si="68">Q86</f>
        <v>136.04125517390906</v>
      </c>
      <c r="S86" s="258">
        <f t="shared" si="68"/>
        <v>136.04125517390906</v>
      </c>
      <c r="T86" s="55"/>
      <c r="U86" s="258">
        <f>AVERAGE(P86:S86)</f>
        <v>136.04125517390906</v>
      </c>
      <c r="V86" s="258">
        <f>U86</f>
        <v>136.04125517390906</v>
      </c>
      <c r="W86" s="258">
        <f t="shared" ref="W86:X86" si="69">V86</f>
        <v>136.04125517390906</v>
      </c>
      <c r="X86" s="258">
        <f t="shared" si="69"/>
        <v>136.04125517390906</v>
      </c>
      <c r="Y86" s="192"/>
      <c r="AA86" s="154" t="s">
        <v>178</v>
      </c>
    </row>
    <row r="87" spans="2:27" x14ac:dyDescent="0.2">
      <c r="B87" s="153" t="s">
        <v>191</v>
      </c>
      <c r="C87" s="187">
        <f>C80/C74</f>
        <v>0.23837209302325582</v>
      </c>
      <c r="D87" s="187">
        <f t="shared" ref="D87:N87" si="70">D80/D74</f>
        <v>9.8671726755218223E-2</v>
      </c>
      <c r="E87" s="184">
        <f t="shared" si="70"/>
        <v>2.0360219263899765E-2</v>
      </c>
      <c r="F87" s="187">
        <f t="shared" si="70"/>
        <v>1.1748526522593321</v>
      </c>
      <c r="G87" s="187">
        <f t="shared" si="70"/>
        <v>0.77709611451942739</v>
      </c>
      <c r="H87" s="187">
        <f t="shared" si="70"/>
        <v>0.14923076923076922</v>
      </c>
      <c r="I87" s="187">
        <f t="shared" si="70"/>
        <v>0.39400428265524623</v>
      </c>
      <c r="J87" s="184">
        <f t="shared" si="70"/>
        <v>8.6997635933806147E-2</v>
      </c>
      <c r="K87" s="187">
        <f t="shared" si="70"/>
        <v>0.44615384615384618</v>
      </c>
      <c r="L87" s="187">
        <f t="shared" si="70"/>
        <v>0.26190476190476192</v>
      </c>
      <c r="M87" s="187">
        <f t="shared" si="70"/>
        <v>7.7586206896551727E-2</v>
      </c>
      <c r="N87" s="187">
        <f t="shared" si="70"/>
        <v>8.9452603471295064E-2</v>
      </c>
      <c r="O87" s="192">
        <f>O80/O74</f>
        <v>2.5958930647036034E-2</v>
      </c>
      <c r="P87" s="257">
        <f>AVERAGE(K87:N87)</f>
        <v>0.21877435460661371</v>
      </c>
      <c r="Q87" s="257">
        <f>P87</f>
        <v>0.21877435460661371</v>
      </c>
      <c r="R87" s="257">
        <f>Q87</f>
        <v>0.21877435460661371</v>
      </c>
      <c r="S87" s="257">
        <f>R87</f>
        <v>0.21877435460661371</v>
      </c>
      <c r="T87" s="184"/>
      <c r="U87" s="257">
        <v>0.2</v>
      </c>
      <c r="V87" s="257">
        <f>U87</f>
        <v>0.2</v>
      </c>
      <c r="W87" s="257">
        <f>V87</f>
        <v>0.2</v>
      </c>
      <c r="X87" s="257">
        <f>W87</f>
        <v>0.2</v>
      </c>
      <c r="Y87" s="192"/>
      <c r="AA87" s="154" t="s">
        <v>192</v>
      </c>
    </row>
    <row r="88" spans="2:27" x14ac:dyDescent="0.2">
      <c r="B88" s="189" t="s">
        <v>193</v>
      </c>
      <c r="C88" s="188">
        <f>C81/C74</f>
        <v>0.16472868217054262</v>
      </c>
      <c r="D88" s="188">
        <f t="shared" ref="D88:O88" si="71">D81/D74</f>
        <v>0.13092979127134724</v>
      </c>
      <c r="E88" s="191">
        <f t="shared" si="71"/>
        <v>2.7016444792482379E-2</v>
      </c>
      <c r="F88" s="188">
        <f t="shared" si="71"/>
        <v>0.22593320235756384</v>
      </c>
      <c r="G88" s="188">
        <f t="shared" si="71"/>
        <v>0.24130879345603273</v>
      </c>
      <c r="H88" s="188">
        <f t="shared" si="71"/>
        <v>0.19846153846153847</v>
      </c>
      <c r="I88" s="188">
        <f t="shared" si="71"/>
        <v>0.32976445396145609</v>
      </c>
      <c r="J88" s="191">
        <f t="shared" si="71"/>
        <v>7.2813238770685573E-2</v>
      </c>
      <c r="K88" s="188">
        <f t="shared" si="71"/>
        <v>0.4</v>
      </c>
      <c r="L88" s="188">
        <f t="shared" si="71"/>
        <v>0.23333333333333334</v>
      </c>
      <c r="M88" s="188">
        <f t="shared" si="71"/>
        <v>0.18596059113300492</v>
      </c>
      <c r="N88" s="188">
        <f t="shared" si="71"/>
        <v>0.1041388518024032</v>
      </c>
      <c r="O88" s="193">
        <f t="shared" si="71"/>
        <v>3.0220844633862844E-2</v>
      </c>
      <c r="P88" s="256">
        <f>AVERAGE(K88:N88)</f>
        <v>0.23085819406718536</v>
      </c>
      <c r="Q88" s="256">
        <f>P88</f>
        <v>0.23085819406718536</v>
      </c>
      <c r="R88" s="256">
        <f>Q88</f>
        <v>0.23085819406718536</v>
      </c>
      <c r="S88" s="256">
        <f>R88</f>
        <v>0.23085819406718536</v>
      </c>
      <c r="T88" s="191"/>
      <c r="U88" s="256">
        <f>AVERAGE(P88:S88)</f>
        <v>0.23085819406718536</v>
      </c>
      <c r="V88" s="256">
        <f>U88</f>
        <v>0.23085819406718536</v>
      </c>
      <c r="W88" s="256">
        <f>V88</f>
        <v>0.23085819406718536</v>
      </c>
      <c r="X88" s="256">
        <f>W88</f>
        <v>0.23085819406718536</v>
      </c>
      <c r="Y88" s="193"/>
      <c r="AA88" s="154" t="s">
        <v>178</v>
      </c>
    </row>
    <row r="89" spans="2:27" x14ac:dyDescent="0.2">
      <c r="C89" s="50"/>
      <c r="D89" s="50"/>
      <c r="E89" s="55"/>
      <c r="F89" s="50"/>
      <c r="G89" s="50"/>
      <c r="H89" s="50"/>
      <c r="I89" s="50"/>
      <c r="J89" s="55"/>
      <c r="K89" s="50"/>
      <c r="L89" s="50"/>
      <c r="M89" s="50"/>
      <c r="N89" s="50"/>
      <c r="O89" s="57"/>
      <c r="P89" s="50"/>
      <c r="Q89" s="50"/>
      <c r="R89" s="50"/>
      <c r="S89" s="50"/>
      <c r="T89" s="55"/>
      <c r="U89" s="50"/>
      <c r="V89" s="50"/>
      <c r="W89" s="50"/>
      <c r="X89" s="50"/>
      <c r="Y89" s="55"/>
    </row>
    <row r="90" spans="2:27" x14ac:dyDescent="0.2">
      <c r="B90" s="268" t="s">
        <v>194</v>
      </c>
      <c r="C90" s="50"/>
      <c r="D90" s="50"/>
      <c r="E90" s="55"/>
      <c r="F90" s="50"/>
      <c r="G90" s="50"/>
      <c r="H90" s="50"/>
      <c r="I90" s="50"/>
      <c r="J90" s="55"/>
      <c r="K90" s="50"/>
      <c r="L90" s="50"/>
      <c r="M90" s="50"/>
      <c r="N90" s="50"/>
      <c r="O90" s="57"/>
      <c r="P90" s="50"/>
      <c r="Q90" s="50"/>
      <c r="R90" s="50"/>
      <c r="S90" s="50"/>
      <c r="T90" s="55"/>
      <c r="U90" s="50"/>
      <c r="V90" s="50"/>
      <c r="W90" s="50"/>
      <c r="X90" s="50"/>
      <c r="Y90" s="55"/>
    </row>
    <row r="91" spans="2:27" x14ac:dyDescent="0.2">
      <c r="B91" s="260" t="s">
        <v>195</v>
      </c>
      <c r="C91" s="290">
        <f>'Cash Flow Statement'!C34</f>
        <v>181</v>
      </c>
      <c r="D91" s="290">
        <f>'Cash Flow Statement'!D34</f>
        <v>222</v>
      </c>
      <c r="E91" s="291">
        <f>'Cash Flow Statement'!E34</f>
        <v>864</v>
      </c>
      <c r="F91" s="290">
        <f>'Cash Flow Statement'!F34</f>
        <v>173</v>
      </c>
      <c r="G91" s="290">
        <f>'Cash Flow Statement'!G34</f>
        <v>-23</v>
      </c>
      <c r="H91" s="290">
        <f>'Cash Flow Statement'!H34</f>
        <v>96</v>
      </c>
      <c r="I91" s="290">
        <f>'Cash Flow Statement'!I34</f>
        <v>10</v>
      </c>
      <c r="J91" s="291">
        <f>'Cash Flow Statement'!J34</f>
        <v>256</v>
      </c>
      <c r="K91" s="290">
        <f>'Cash Flow Statement'!K34</f>
        <v>119</v>
      </c>
      <c r="L91" s="290">
        <f>'Cash Flow Statement'!L34</f>
        <v>-184</v>
      </c>
      <c r="M91" s="290">
        <f>'Cash Flow Statement'!M34</f>
        <v>489</v>
      </c>
      <c r="N91" s="290">
        <f>'Cash Flow Statement'!N34</f>
        <v>280</v>
      </c>
      <c r="O91" s="292">
        <f>'Cash Flow Statement'!O34</f>
        <v>704</v>
      </c>
      <c r="P91" s="290">
        <f>'Cash Flow Statement'!P34</f>
        <v>-74.878928635219836</v>
      </c>
      <c r="Q91" s="290">
        <f>'Cash Flow Statement'!Q34</f>
        <v>631.2302796639035</v>
      </c>
      <c r="R91" s="290">
        <f>'Cash Flow Statement'!R34</f>
        <v>354.11391143562139</v>
      </c>
      <c r="S91" s="290">
        <f>'Cash Flow Statement'!S34</f>
        <v>560.31201036920902</v>
      </c>
      <c r="T91" s="291">
        <f>'Cash Flow Statement'!T34</f>
        <v>1470.7772728335135</v>
      </c>
      <c r="U91" s="290">
        <f>'Cash Flow Statement'!U34</f>
        <v>575.77161920684955</v>
      </c>
      <c r="V91" s="290">
        <f>'Cash Flow Statement'!V34</f>
        <v>757.68597085283557</v>
      </c>
      <c r="W91" s="290">
        <f>'Cash Flow Statement'!W34</f>
        <v>784.59417213608458</v>
      </c>
      <c r="X91" s="290">
        <f>'Cash Flow Statement'!X34</f>
        <v>558.88909950578579</v>
      </c>
      <c r="Y91" s="292">
        <f>'Cash Flow Statement'!Y34</f>
        <v>2676.9408617015547</v>
      </c>
    </row>
    <row r="92" spans="2:27" x14ac:dyDescent="0.2">
      <c r="B92" s="261" t="s">
        <v>196</v>
      </c>
      <c r="C92" s="282">
        <f>'Cash Flow Statement'!C49</f>
        <v>-70</v>
      </c>
      <c r="D92" s="282">
        <f>'Cash Flow Statement'!D49</f>
        <v>-63</v>
      </c>
      <c r="E92" s="283">
        <f>'Cash Flow Statement'!E49</f>
        <v>-328</v>
      </c>
      <c r="F92" s="282">
        <f>'Cash Flow Statement'!F49</f>
        <v>265</v>
      </c>
      <c r="G92" s="282">
        <f>'Cash Flow Statement'!G49</f>
        <v>714</v>
      </c>
      <c r="H92" s="282">
        <f>'Cash Flow Statement'!H49</f>
        <v>246</v>
      </c>
      <c r="I92" s="282">
        <f>'Cash Flow Statement'!I49</f>
        <v>-54</v>
      </c>
      <c r="J92" s="283">
        <f>'Cash Flow Statement'!J49</f>
        <v>1171</v>
      </c>
      <c r="K92" s="282">
        <f>'Cash Flow Statement'!K49</f>
        <v>-68</v>
      </c>
      <c r="L92" s="282">
        <f>'Cash Flow Statement'!L49</f>
        <v>-46</v>
      </c>
      <c r="M92" s="282">
        <f>'Cash Flow Statement'!M49</f>
        <v>-42</v>
      </c>
      <c r="N92" s="282">
        <f>'Cash Flow Statement'!N49</f>
        <v>-3847</v>
      </c>
      <c r="O92" s="281">
        <f>'Cash Flow Statement'!O49</f>
        <v>-4003</v>
      </c>
      <c r="P92" s="282">
        <f>'Cash Flow Statement'!P49</f>
        <v>-67.718063086150039</v>
      </c>
      <c r="Q92" s="282">
        <f>'Cash Flow Statement'!Q49</f>
        <v>-80.407621100295202</v>
      </c>
      <c r="R92" s="282">
        <f>'Cash Flow Statement'!R49</f>
        <v>-97.028085646054166</v>
      </c>
      <c r="S92" s="282">
        <f>'Cash Flow Statement'!S49</f>
        <v>-96.931030104956704</v>
      </c>
      <c r="T92" s="283">
        <f>'Cash Flow Statement'!T49</f>
        <v>-342.08479993745613</v>
      </c>
      <c r="U92" s="282">
        <f>'Cash Flow Statement'!U49</f>
        <v>-93.106941751956782</v>
      </c>
      <c r="V92" s="282">
        <f>'Cash Flow Statement'!V49</f>
        <v>-128.39912037513938</v>
      </c>
      <c r="W92" s="282">
        <f>'Cash Flow Statement'!W49</f>
        <v>-140.18137008556272</v>
      </c>
      <c r="X92" s="282">
        <f>'Cash Flow Statement'!X49</f>
        <v>-149.09365631741886</v>
      </c>
      <c r="Y92" s="281">
        <f>'Cash Flow Statement'!Y49</f>
        <v>-510.78108853007774</v>
      </c>
      <c r="AA92" s="154" t="s">
        <v>197</v>
      </c>
    </row>
    <row r="93" spans="2:27" x14ac:dyDescent="0.2">
      <c r="B93" s="262" t="s">
        <v>198</v>
      </c>
      <c r="C93" s="282">
        <f t="shared" ref="C93:Y93" si="72">SUM(C91:C92)</f>
        <v>111</v>
      </c>
      <c r="D93" s="282">
        <f t="shared" si="72"/>
        <v>159</v>
      </c>
      <c r="E93" s="283">
        <f t="shared" si="72"/>
        <v>536</v>
      </c>
      <c r="F93" s="282">
        <f t="shared" si="72"/>
        <v>438</v>
      </c>
      <c r="G93" s="282">
        <f t="shared" si="72"/>
        <v>691</v>
      </c>
      <c r="H93" s="282">
        <f t="shared" si="72"/>
        <v>342</v>
      </c>
      <c r="I93" s="282">
        <f t="shared" si="72"/>
        <v>-44</v>
      </c>
      <c r="J93" s="283">
        <f t="shared" si="72"/>
        <v>1427</v>
      </c>
      <c r="K93" s="282">
        <f t="shared" si="72"/>
        <v>51</v>
      </c>
      <c r="L93" s="282">
        <f t="shared" si="72"/>
        <v>-230</v>
      </c>
      <c r="M93" s="282">
        <f t="shared" si="72"/>
        <v>447</v>
      </c>
      <c r="N93" s="282">
        <f t="shared" si="72"/>
        <v>-3567</v>
      </c>
      <c r="O93" s="281">
        <f t="shared" si="72"/>
        <v>-3299</v>
      </c>
      <c r="P93" s="282">
        <f t="shared" si="72"/>
        <v>-142.59699172136987</v>
      </c>
      <c r="Q93" s="282">
        <f t="shared" si="72"/>
        <v>550.82265856360834</v>
      </c>
      <c r="R93" s="282">
        <f t="shared" si="72"/>
        <v>257.08582578956725</v>
      </c>
      <c r="S93" s="282">
        <f t="shared" si="72"/>
        <v>463.38098026425234</v>
      </c>
      <c r="T93" s="283">
        <f t="shared" si="72"/>
        <v>1128.6924728960573</v>
      </c>
      <c r="U93" s="282">
        <f t="shared" si="72"/>
        <v>482.66467745489274</v>
      </c>
      <c r="V93" s="282">
        <f t="shared" si="72"/>
        <v>629.28685047769613</v>
      </c>
      <c r="W93" s="282">
        <f t="shared" si="72"/>
        <v>644.4128020505218</v>
      </c>
      <c r="X93" s="282">
        <f t="shared" si="72"/>
        <v>409.7954431883669</v>
      </c>
      <c r="Y93" s="281">
        <f t="shared" si="72"/>
        <v>2166.1597731714769</v>
      </c>
    </row>
    <row r="94" spans="2:27" x14ac:dyDescent="0.2">
      <c r="B94" s="261" t="s">
        <v>199</v>
      </c>
      <c r="C94" s="282"/>
      <c r="D94" s="282">
        <f>C8</f>
        <v>244</v>
      </c>
      <c r="E94" s="283"/>
      <c r="F94" s="282">
        <f>D8</f>
        <v>400</v>
      </c>
      <c r="G94" s="282">
        <f>F8</f>
        <v>597</v>
      </c>
      <c r="H94" s="282">
        <f>G8</f>
        <v>632</v>
      </c>
      <c r="I94" s="282">
        <f>H8</f>
        <v>648</v>
      </c>
      <c r="J94" s="283">
        <f>E8</f>
        <v>400</v>
      </c>
      <c r="K94" s="282">
        <f>I8</f>
        <v>328</v>
      </c>
      <c r="L94" s="282">
        <f>K8</f>
        <v>295</v>
      </c>
      <c r="M94" s="282">
        <f>L8</f>
        <v>122</v>
      </c>
      <c r="N94" s="282">
        <f>M8</f>
        <v>497</v>
      </c>
      <c r="O94" s="281">
        <f>J8</f>
        <v>328</v>
      </c>
      <c r="P94" s="282">
        <f>O8</f>
        <v>689</v>
      </c>
      <c r="Q94" s="282">
        <f>P8</f>
        <v>546.40300827863007</v>
      </c>
      <c r="R94" s="282">
        <f>Q8</f>
        <v>1097.2256668422383</v>
      </c>
      <c r="S94" s="282">
        <f>R8</f>
        <v>1354.3114926318055</v>
      </c>
      <c r="T94" s="283">
        <f>O8</f>
        <v>689</v>
      </c>
      <c r="U94" s="282">
        <f>T8</f>
        <v>1817.692472896058</v>
      </c>
      <c r="V94" s="282">
        <f>U8</f>
        <v>2300.3571503509506</v>
      </c>
      <c r="W94" s="282">
        <f>V8</f>
        <v>2929.6440008286468</v>
      </c>
      <c r="X94" s="282">
        <f>W8</f>
        <v>3574.0568028791686</v>
      </c>
      <c r="Y94" s="281">
        <f>T8</f>
        <v>1817.692472896058</v>
      </c>
    </row>
    <row r="95" spans="2:27" x14ac:dyDescent="0.2">
      <c r="B95" s="261" t="s">
        <v>200</v>
      </c>
      <c r="C95" s="282">
        <f t="shared" ref="C95:Y95" si="73">-C109*C74</f>
        <v>-15.479999999999999</v>
      </c>
      <c r="D95" s="282">
        <f t="shared" si="73"/>
        <v>-15.809999999999999</v>
      </c>
      <c r="E95" s="283">
        <f t="shared" si="73"/>
        <v>-76.61999999999999</v>
      </c>
      <c r="F95" s="282">
        <f t="shared" si="73"/>
        <v>-15.27</v>
      </c>
      <c r="G95" s="282">
        <f t="shared" si="73"/>
        <v>-14.67</v>
      </c>
      <c r="H95" s="282">
        <f t="shared" si="73"/>
        <v>-19.5</v>
      </c>
      <c r="I95" s="282">
        <f t="shared" si="73"/>
        <v>-14.01</v>
      </c>
      <c r="J95" s="283">
        <f t="shared" si="73"/>
        <v>-63.449999999999996</v>
      </c>
      <c r="K95" s="282">
        <f t="shared" si="73"/>
        <v>-11.7</v>
      </c>
      <c r="L95" s="282">
        <f t="shared" si="73"/>
        <v>-18.899999999999999</v>
      </c>
      <c r="M95" s="282">
        <f t="shared" si="73"/>
        <v>-24.36</v>
      </c>
      <c r="N95" s="282">
        <f t="shared" si="73"/>
        <v>-22.47</v>
      </c>
      <c r="O95" s="281">
        <f t="shared" si="73"/>
        <v>-77.429999999999993</v>
      </c>
      <c r="P95" s="282">
        <f t="shared" si="73"/>
        <v>-26.895719807999996</v>
      </c>
      <c r="Q95" s="282">
        <f t="shared" si="73"/>
        <v>-19.483222579199996</v>
      </c>
      <c r="R95" s="282">
        <f t="shared" si="73"/>
        <v>-27.629800012800001</v>
      </c>
      <c r="S95" s="282">
        <f t="shared" si="73"/>
        <v>-26.864562815999999</v>
      </c>
      <c r="T95" s="283">
        <f t="shared" si="73"/>
        <v>-100.87330521599999</v>
      </c>
      <c r="U95" s="282">
        <f t="shared" si="73"/>
        <v>-31.600445376</v>
      </c>
      <c r="V95" s="282">
        <f t="shared" si="73"/>
        <v>-22.078938178559998</v>
      </c>
      <c r="W95" s="282">
        <f t="shared" si="73"/>
        <v>-32.34993205248</v>
      </c>
      <c r="X95" s="282">
        <f t="shared" si="73"/>
        <v>-31.862043187199998</v>
      </c>
      <c r="Y95" s="281">
        <f t="shared" si="73"/>
        <v>-117.89135879423999</v>
      </c>
    </row>
    <row r="96" spans="2:27" x14ac:dyDescent="0.2">
      <c r="B96" s="262" t="s">
        <v>201</v>
      </c>
      <c r="C96" s="282">
        <f t="shared" ref="C96:Y96" si="74">SUM(C93:C95)</f>
        <v>95.52</v>
      </c>
      <c r="D96" s="282">
        <f t="shared" si="74"/>
        <v>387.19</v>
      </c>
      <c r="E96" s="283">
        <f t="shared" si="74"/>
        <v>459.38</v>
      </c>
      <c r="F96" s="282">
        <f t="shared" si="74"/>
        <v>822.73</v>
      </c>
      <c r="G96" s="282">
        <f t="shared" si="74"/>
        <v>1273.33</v>
      </c>
      <c r="H96" s="282">
        <f t="shared" si="74"/>
        <v>954.5</v>
      </c>
      <c r="I96" s="282">
        <f t="shared" si="74"/>
        <v>589.99</v>
      </c>
      <c r="J96" s="283">
        <f t="shared" si="74"/>
        <v>1763.55</v>
      </c>
      <c r="K96" s="282">
        <f t="shared" si="74"/>
        <v>367.3</v>
      </c>
      <c r="L96" s="282">
        <f t="shared" si="74"/>
        <v>46.1</v>
      </c>
      <c r="M96" s="282">
        <f t="shared" si="74"/>
        <v>544.64</v>
      </c>
      <c r="N96" s="282">
        <f t="shared" si="74"/>
        <v>-3092.47</v>
      </c>
      <c r="O96" s="281">
        <f t="shared" si="74"/>
        <v>-3048.43</v>
      </c>
      <c r="P96" s="284">
        <f t="shared" si="74"/>
        <v>519.5072884706301</v>
      </c>
      <c r="Q96" s="284">
        <f t="shared" si="74"/>
        <v>1077.7424442630384</v>
      </c>
      <c r="R96" s="284">
        <f t="shared" si="74"/>
        <v>1326.6816926190056</v>
      </c>
      <c r="S96" s="284">
        <f t="shared" si="74"/>
        <v>1790.827910080058</v>
      </c>
      <c r="T96" s="283">
        <f t="shared" si="74"/>
        <v>1716.8191676800573</v>
      </c>
      <c r="U96" s="284">
        <f t="shared" si="74"/>
        <v>2268.7567049749505</v>
      </c>
      <c r="V96" s="284">
        <f t="shared" si="74"/>
        <v>2907.5650626500869</v>
      </c>
      <c r="W96" s="284">
        <f t="shared" si="74"/>
        <v>3541.7068708266884</v>
      </c>
      <c r="X96" s="284">
        <f t="shared" si="74"/>
        <v>3951.9902028803353</v>
      </c>
      <c r="Y96" s="281">
        <f t="shared" si="74"/>
        <v>3865.9608872732947</v>
      </c>
    </row>
    <row r="97" spans="2:27" x14ac:dyDescent="0.2">
      <c r="B97" s="262"/>
      <c r="C97" s="282"/>
      <c r="D97" s="282"/>
      <c r="E97" s="283"/>
      <c r="F97" s="282"/>
      <c r="G97" s="282"/>
      <c r="H97" s="282"/>
      <c r="I97" s="282"/>
      <c r="J97" s="283"/>
      <c r="K97" s="282"/>
      <c r="L97" s="282"/>
      <c r="M97" s="282"/>
      <c r="N97" s="282"/>
      <c r="O97" s="281"/>
      <c r="P97" s="50"/>
      <c r="Q97" s="50"/>
      <c r="R97" s="50"/>
      <c r="S97" s="50"/>
      <c r="T97" s="283"/>
      <c r="U97" s="50"/>
      <c r="V97" s="50"/>
      <c r="W97" s="50"/>
      <c r="X97" s="50"/>
      <c r="Y97" s="281"/>
    </row>
    <row r="98" spans="2:27" x14ac:dyDescent="0.2">
      <c r="B98" s="262" t="s">
        <v>155</v>
      </c>
      <c r="C98" s="282"/>
      <c r="D98" s="282"/>
      <c r="E98" s="283"/>
      <c r="F98" s="282"/>
      <c r="G98" s="282"/>
      <c r="H98" s="282"/>
      <c r="I98" s="282"/>
      <c r="J98" s="283"/>
      <c r="K98" s="282"/>
      <c r="L98" s="282"/>
      <c r="M98" s="282"/>
      <c r="N98" s="282"/>
      <c r="O98" s="281"/>
      <c r="P98" s="50"/>
      <c r="Q98" s="50"/>
      <c r="R98" s="50"/>
      <c r="S98" s="50"/>
      <c r="T98" s="283"/>
      <c r="U98" s="50"/>
      <c r="V98" s="50"/>
      <c r="W98" s="50"/>
      <c r="X98" s="50"/>
      <c r="Y98" s="281"/>
    </row>
    <row r="99" spans="2:27" x14ac:dyDescent="0.2">
      <c r="B99" s="262" t="s">
        <v>202</v>
      </c>
      <c r="C99" s="282">
        <f>C39</f>
        <v>2823</v>
      </c>
      <c r="D99" s="282">
        <f>C103</f>
        <v>2815</v>
      </c>
      <c r="E99" s="283">
        <f>C99</f>
        <v>2823</v>
      </c>
      <c r="F99" s="282">
        <f>D103</f>
        <v>2796</v>
      </c>
      <c r="G99" s="282">
        <f>F103</f>
        <v>2614</v>
      </c>
      <c r="H99" s="282">
        <f>G103</f>
        <v>2614</v>
      </c>
      <c r="I99" s="282">
        <f>H103</f>
        <v>2614</v>
      </c>
      <c r="J99" s="283">
        <f>F99</f>
        <v>2796</v>
      </c>
      <c r="K99" s="282">
        <f>I103</f>
        <v>2971</v>
      </c>
      <c r="L99" s="282">
        <f>K103</f>
        <v>2958</v>
      </c>
      <c r="M99" s="282">
        <f>L103</f>
        <v>3023</v>
      </c>
      <c r="N99" s="282">
        <f>M103</f>
        <v>2929</v>
      </c>
      <c r="O99" s="281">
        <f>K99</f>
        <v>2971</v>
      </c>
      <c r="P99" s="284">
        <f>O103</f>
        <v>6755</v>
      </c>
      <c r="Q99" s="284">
        <f>P103</f>
        <v>6709.75</v>
      </c>
      <c r="R99" s="284">
        <f>Q103</f>
        <v>6664.5</v>
      </c>
      <c r="S99" s="284">
        <f>R103</f>
        <v>6619.25</v>
      </c>
      <c r="T99" s="283">
        <f>S103</f>
        <v>6574</v>
      </c>
      <c r="U99" s="284">
        <f>S103</f>
        <v>6574</v>
      </c>
      <c r="V99" s="284">
        <f>U103</f>
        <v>6528.75</v>
      </c>
      <c r="W99" s="284">
        <f>V103</f>
        <v>6483.5</v>
      </c>
      <c r="X99" s="284">
        <f>W103</f>
        <v>6438.25</v>
      </c>
      <c r="Y99" s="281">
        <f>X103</f>
        <v>6393</v>
      </c>
    </row>
    <row r="100" spans="2:27" x14ac:dyDescent="0.2">
      <c r="B100" s="261" t="s">
        <v>203</v>
      </c>
      <c r="C100" s="282">
        <f>'Cash Flow Statement'!C59</f>
        <v>289</v>
      </c>
      <c r="D100" s="282">
        <f>'Cash Flow Statement'!D59</f>
        <v>-1</v>
      </c>
      <c r="E100" s="283">
        <f>SUM(C100,D100)</f>
        <v>288</v>
      </c>
      <c r="F100" s="282">
        <f>'Cash Flow Statement'!F59</f>
        <v>0</v>
      </c>
      <c r="G100" s="282">
        <f>'Cash Flow Statement'!G59</f>
        <v>0</v>
      </c>
      <c r="H100" s="282">
        <f>'Cash Flow Statement'!H59</f>
        <v>0</v>
      </c>
      <c r="I100" s="282">
        <f>'Cash Flow Statement'!I59</f>
        <v>849</v>
      </c>
      <c r="J100" s="283">
        <f>SUM(F100,G100,H100,I100)</f>
        <v>849</v>
      </c>
      <c r="K100" s="282">
        <f>'Cash Flow Statement'!K59</f>
        <v>0</v>
      </c>
      <c r="L100" s="282">
        <f>'Cash Flow Statement'!L59</f>
        <v>75</v>
      </c>
      <c r="M100" s="282">
        <f>'Cash Flow Statement'!M59</f>
        <v>0</v>
      </c>
      <c r="N100" s="282">
        <f>'Cash Flow Statement'!N59</f>
        <v>3890</v>
      </c>
      <c r="O100" s="281">
        <f>SUM(K100,L100,M100,N100)</f>
        <v>3965</v>
      </c>
      <c r="P100" s="287">
        <f>'Cash Flow Statement'!P59</f>
        <v>0</v>
      </c>
      <c r="Q100" s="287">
        <f>'Cash Flow Statement'!Q59</f>
        <v>0</v>
      </c>
      <c r="R100" s="287">
        <f>'Cash Flow Statement'!R59</f>
        <v>0</v>
      </c>
      <c r="S100" s="287">
        <f>'Cash Flow Statement'!S59</f>
        <v>0</v>
      </c>
      <c r="T100" s="283">
        <f>SUM(P100:S100)</f>
        <v>0</v>
      </c>
      <c r="U100" s="287">
        <f>'Cash Flow Statement'!U59</f>
        <v>0</v>
      </c>
      <c r="V100" s="287">
        <f>'Cash Flow Statement'!V59</f>
        <v>0</v>
      </c>
      <c r="W100" s="287">
        <f>'Cash Flow Statement'!W59</f>
        <v>0</v>
      </c>
      <c r="X100" s="287">
        <f>'Cash Flow Statement'!X59</f>
        <v>0</v>
      </c>
      <c r="Y100" s="281">
        <f>SUM(U100:X100)</f>
        <v>0</v>
      </c>
      <c r="AA100" s="154" t="s">
        <v>204</v>
      </c>
    </row>
    <row r="101" spans="2:27" x14ac:dyDescent="0.2">
      <c r="B101" s="261" t="s">
        <v>205</v>
      </c>
      <c r="C101" s="282">
        <f>'Cash Flow Statement'!C66</f>
        <v>-297</v>
      </c>
      <c r="D101" s="282">
        <f>'Cash Flow Statement'!D66</f>
        <v>-18</v>
      </c>
      <c r="E101" s="283">
        <f>SUM(C101,D101)</f>
        <v>-315</v>
      </c>
      <c r="F101" s="282">
        <f>'Cash Flow Statement'!F66</f>
        <v>-182</v>
      </c>
      <c r="G101" s="282">
        <f>'Cash Flow Statement'!G66</f>
        <v>0</v>
      </c>
      <c r="H101" s="282">
        <f>'Cash Flow Statement'!H66</f>
        <v>0</v>
      </c>
      <c r="I101" s="282">
        <f>'Cash Flow Statement'!I66</f>
        <v>-492</v>
      </c>
      <c r="J101" s="283">
        <f>SUM(F101,G101,H101,I101)</f>
        <v>-674</v>
      </c>
      <c r="K101" s="282">
        <f>'Cash Flow Statement'!K66</f>
        <v>-13</v>
      </c>
      <c r="L101" s="282">
        <f>'Cash Flow Statement'!L66</f>
        <v>-10</v>
      </c>
      <c r="M101" s="282">
        <f>'Cash Flow Statement'!M66</f>
        <v>-94</v>
      </c>
      <c r="N101" s="282">
        <f>'Cash Flow Statement'!N66</f>
        <v>-64</v>
      </c>
      <c r="O101" s="281">
        <f>SUM(K101,L101,M101,N101)</f>
        <v>-181</v>
      </c>
      <c r="P101" s="287">
        <f>AVERAGE(K101:N101)</f>
        <v>-45.25</v>
      </c>
      <c r="Q101" s="287">
        <f>AVERAGE(K101:N101)</f>
        <v>-45.25</v>
      </c>
      <c r="R101" s="287">
        <f>AVERAGE(K101:N101)</f>
        <v>-45.25</v>
      </c>
      <c r="S101" s="287">
        <f>AVERAGE(K101:N101)</f>
        <v>-45.25</v>
      </c>
      <c r="T101" s="283">
        <f>SUM(P101:S101)</f>
        <v>-181</v>
      </c>
      <c r="U101" s="287">
        <f>AVERAGE(K101:N101)</f>
        <v>-45.25</v>
      </c>
      <c r="V101" s="287">
        <f>AVERAGE(K101:N101)</f>
        <v>-45.25</v>
      </c>
      <c r="W101" s="287">
        <f>AVERAGE(K101:N101)</f>
        <v>-45.25</v>
      </c>
      <c r="X101" s="287">
        <f>AVERAGE(K101:N101)</f>
        <v>-45.25</v>
      </c>
      <c r="Y101" s="281">
        <f>SUM(U101:X101)</f>
        <v>-181</v>
      </c>
      <c r="AA101" s="154" t="s">
        <v>178</v>
      </c>
    </row>
    <row r="102" spans="2:27" x14ac:dyDescent="0.2">
      <c r="B102" s="261" t="s">
        <v>206</v>
      </c>
      <c r="C102" s="282">
        <v>0</v>
      </c>
      <c r="D102" s="282">
        <v>0</v>
      </c>
      <c r="E102" s="283">
        <f>SUM(C102,D102)</f>
        <v>0</v>
      </c>
      <c r="F102" s="282">
        <v>0</v>
      </c>
      <c r="G102" s="282">
        <v>0</v>
      </c>
      <c r="H102" s="282">
        <v>0</v>
      </c>
      <c r="I102" s="282">
        <v>0</v>
      </c>
      <c r="J102" s="283">
        <f>SUM(F102,G102,H102,I102)</f>
        <v>0</v>
      </c>
      <c r="K102" s="282">
        <v>0</v>
      </c>
      <c r="L102" s="282">
        <v>0</v>
      </c>
      <c r="M102" s="282">
        <v>0</v>
      </c>
      <c r="N102" s="282">
        <v>0</v>
      </c>
      <c r="O102" s="281">
        <f>SUM(K102,L102,M102,N102)</f>
        <v>0</v>
      </c>
      <c r="P102" s="288">
        <v>0</v>
      </c>
      <c r="Q102" s="288">
        <v>0</v>
      </c>
      <c r="R102" s="288">
        <v>0</v>
      </c>
      <c r="S102" s="288">
        <v>0</v>
      </c>
      <c r="T102" s="283">
        <v>0</v>
      </c>
      <c r="U102" s="288">
        <v>0</v>
      </c>
      <c r="V102" s="288">
        <v>0</v>
      </c>
      <c r="W102" s="288">
        <v>0</v>
      </c>
      <c r="X102" s="288">
        <v>0</v>
      </c>
      <c r="Y102" s="281">
        <v>0</v>
      </c>
    </row>
    <row r="103" spans="2:27" x14ac:dyDescent="0.2">
      <c r="B103" s="262" t="s">
        <v>207</v>
      </c>
      <c r="C103" s="282">
        <f>SUM(C99:C102)</f>
        <v>2815</v>
      </c>
      <c r="D103" s="282">
        <f>SUM(D99:D102)</f>
        <v>2796</v>
      </c>
      <c r="E103" s="283">
        <f>D103</f>
        <v>2796</v>
      </c>
      <c r="F103" s="282">
        <f>SUM(F99:F102)</f>
        <v>2614</v>
      </c>
      <c r="G103" s="282">
        <f>SUM(G99:G102)</f>
        <v>2614</v>
      </c>
      <c r="H103" s="282">
        <f>SUM(H99:H102)</f>
        <v>2614</v>
      </c>
      <c r="I103" s="282">
        <f>SUM(I99:I102)</f>
        <v>2971</v>
      </c>
      <c r="J103" s="283">
        <f>I103</f>
        <v>2971</v>
      </c>
      <c r="K103" s="282">
        <f>SUM(K99:K102)</f>
        <v>2958</v>
      </c>
      <c r="L103" s="282">
        <f>SUM(L99:L102)</f>
        <v>3023</v>
      </c>
      <c r="M103" s="282">
        <f>SUM(M99:M102)</f>
        <v>2929</v>
      </c>
      <c r="N103" s="282">
        <f>SUM(N99:N102)</f>
        <v>6755</v>
      </c>
      <c r="O103" s="281">
        <f>N103</f>
        <v>6755</v>
      </c>
      <c r="P103" s="284">
        <f t="shared" ref="P103:Y103" si="75">SUM(P99:P102)</f>
        <v>6709.75</v>
      </c>
      <c r="Q103" s="284">
        <f t="shared" si="75"/>
        <v>6664.5</v>
      </c>
      <c r="R103" s="284">
        <f t="shared" si="75"/>
        <v>6619.25</v>
      </c>
      <c r="S103" s="284">
        <f t="shared" si="75"/>
        <v>6574</v>
      </c>
      <c r="T103" s="55">
        <f t="shared" si="75"/>
        <v>6393</v>
      </c>
      <c r="U103" s="284">
        <f t="shared" si="75"/>
        <v>6528.75</v>
      </c>
      <c r="V103" s="284">
        <f t="shared" si="75"/>
        <v>6483.5</v>
      </c>
      <c r="W103" s="284">
        <f t="shared" si="75"/>
        <v>6438.25</v>
      </c>
      <c r="X103" s="284">
        <f t="shared" si="75"/>
        <v>6393</v>
      </c>
      <c r="Y103" s="281">
        <f t="shared" si="75"/>
        <v>6212</v>
      </c>
    </row>
    <row r="104" spans="2:27" x14ac:dyDescent="0.2">
      <c r="B104" s="262"/>
      <c r="C104" s="282"/>
      <c r="D104" s="282"/>
      <c r="E104" s="283"/>
      <c r="F104" s="282"/>
      <c r="G104" s="282"/>
      <c r="H104" s="282"/>
      <c r="I104" s="282"/>
      <c r="J104" s="283"/>
      <c r="K104" s="282"/>
      <c r="L104" s="282"/>
      <c r="M104" s="282"/>
      <c r="N104" s="282"/>
      <c r="O104" s="281"/>
      <c r="P104" s="295"/>
      <c r="Q104" s="295"/>
      <c r="R104" s="295"/>
      <c r="S104" s="295"/>
      <c r="T104" s="55"/>
      <c r="U104" s="295"/>
      <c r="V104" s="295"/>
      <c r="W104" s="295"/>
      <c r="X104" s="295"/>
      <c r="Y104" s="281"/>
    </row>
    <row r="105" spans="2:27" x14ac:dyDescent="0.2">
      <c r="B105" s="262" t="s">
        <v>208</v>
      </c>
      <c r="C105" s="282">
        <f>C96+C100+C101+C102</f>
        <v>87.519999999999982</v>
      </c>
      <c r="D105" s="282">
        <f>D96+D100+D101+D102</f>
        <v>368.19</v>
      </c>
      <c r="E105" s="283">
        <f>D105</f>
        <v>368.19</v>
      </c>
      <c r="F105" s="282">
        <f>F96+F100+F101+F102</f>
        <v>640.73</v>
      </c>
      <c r="G105" s="282">
        <f>G96+G100+G101+G102</f>
        <v>1273.33</v>
      </c>
      <c r="H105" s="282">
        <f>H96+H100+H101+H102</f>
        <v>954.5</v>
      </c>
      <c r="I105" s="282">
        <f>I96+I100+I101+I102</f>
        <v>946.99</v>
      </c>
      <c r="J105" s="283">
        <f>I105</f>
        <v>946.99</v>
      </c>
      <c r="K105" s="282">
        <f>K96+K100+K101+K102</f>
        <v>354.3</v>
      </c>
      <c r="L105" s="282">
        <f>L96+L100+L101+L102</f>
        <v>111.1</v>
      </c>
      <c r="M105" s="282">
        <f>M96+M100+M101+M102</f>
        <v>450.64</v>
      </c>
      <c r="N105" s="282">
        <f>N96+N100+N101+N102</f>
        <v>733.5300000000002</v>
      </c>
      <c r="O105" s="57">
        <f>N105</f>
        <v>733.5300000000002</v>
      </c>
      <c r="P105" s="284">
        <f>P96+P100+P101+P102</f>
        <v>474.2572884706301</v>
      </c>
      <c r="Q105" s="284">
        <f>Q96+Q100+Q101+Q102</f>
        <v>1032.4924442630384</v>
      </c>
      <c r="R105" s="284">
        <f>R96+R100+R101+R102</f>
        <v>1281.4316926190056</v>
      </c>
      <c r="S105" s="284">
        <f>S96+S100+S101+S102</f>
        <v>1745.577910080058</v>
      </c>
      <c r="T105" s="55">
        <f>S105</f>
        <v>1745.577910080058</v>
      </c>
      <c r="U105" s="284">
        <f>U96+U100+U101+U102</f>
        <v>2223.5067049749505</v>
      </c>
      <c r="V105" s="284">
        <f>V96+V100+V101+V102</f>
        <v>2862.3150626500869</v>
      </c>
      <c r="W105" s="284">
        <f>W96+W100+W101+W102</f>
        <v>3496.4568708266884</v>
      </c>
      <c r="X105" s="284">
        <f>X96+X100+X101+X102</f>
        <v>3906.7402028803353</v>
      </c>
      <c r="Y105" s="57">
        <f>X105</f>
        <v>3906.7402028803353</v>
      </c>
    </row>
    <row r="106" spans="2:27" x14ac:dyDescent="0.2">
      <c r="B106" s="262"/>
      <c r="C106" s="282"/>
      <c r="D106" s="282"/>
      <c r="E106" s="283"/>
      <c r="F106" s="282"/>
      <c r="G106" s="282"/>
      <c r="H106" s="282"/>
      <c r="I106" s="282"/>
      <c r="J106" s="283"/>
      <c r="K106" s="282"/>
      <c r="L106" s="282"/>
      <c r="M106" s="282"/>
      <c r="N106" s="282"/>
      <c r="O106" s="57"/>
      <c r="P106" s="289"/>
      <c r="Q106" s="289"/>
      <c r="R106" s="289"/>
      <c r="S106" s="289"/>
      <c r="T106" s="55"/>
      <c r="U106" s="289"/>
      <c r="V106" s="289"/>
      <c r="W106" s="289"/>
      <c r="X106" s="289"/>
      <c r="Y106" s="57"/>
    </row>
    <row r="107" spans="2:27" x14ac:dyDescent="0.2">
      <c r="B107" s="262" t="s">
        <v>209</v>
      </c>
      <c r="C107" s="282">
        <f t="shared" ref="C107:O107" si="76">AVERAGE(C99,C103)</f>
        <v>2819</v>
      </c>
      <c r="D107" s="282">
        <f t="shared" si="76"/>
        <v>2805.5</v>
      </c>
      <c r="E107" s="283">
        <f t="shared" si="76"/>
        <v>2809.5</v>
      </c>
      <c r="F107" s="282">
        <f t="shared" si="76"/>
        <v>2705</v>
      </c>
      <c r="G107" s="282">
        <f t="shared" si="76"/>
        <v>2614</v>
      </c>
      <c r="H107" s="282">
        <f t="shared" si="76"/>
        <v>2614</v>
      </c>
      <c r="I107" s="282">
        <f t="shared" si="76"/>
        <v>2792.5</v>
      </c>
      <c r="J107" s="283">
        <f t="shared" si="76"/>
        <v>2883.5</v>
      </c>
      <c r="K107" s="282">
        <f t="shared" si="76"/>
        <v>2964.5</v>
      </c>
      <c r="L107" s="282">
        <f t="shared" si="76"/>
        <v>2990.5</v>
      </c>
      <c r="M107" s="282">
        <f t="shared" si="76"/>
        <v>2976</v>
      </c>
      <c r="N107" s="282">
        <f t="shared" si="76"/>
        <v>4842</v>
      </c>
      <c r="O107" s="57">
        <f t="shared" si="76"/>
        <v>4863</v>
      </c>
      <c r="P107" s="284">
        <f t="shared" ref="P107:Y107" si="77">P99</f>
        <v>6755</v>
      </c>
      <c r="Q107" s="284">
        <f t="shared" si="77"/>
        <v>6709.75</v>
      </c>
      <c r="R107" s="284">
        <f t="shared" si="77"/>
        <v>6664.5</v>
      </c>
      <c r="S107" s="284">
        <f t="shared" si="77"/>
        <v>6619.25</v>
      </c>
      <c r="T107" s="55">
        <f t="shared" si="77"/>
        <v>6574</v>
      </c>
      <c r="U107" s="284">
        <f t="shared" si="77"/>
        <v>6574</v>
      </c>
      <c r="V107" s="284">
        <f t="shared" si="77"/>
        <v>6528.75</v>
      </c>
      <c r="W107" s="284">
        <f t="shared" si="77"/>
        <v>6483.5</v>
      </c>
      <c r="X107" s="284">
        <f t="shared" si="77"/>
        <v>6438.25</v>
      </c>
      <c r="Y107" s="57">
        <f t="shared" si="77"/>
        <v>6393</v>
      </c>
    </row>
    <row r="108" spans="2:27" x14ac:dyDescent="0.2">
      <c r="B108" s="262" t="s">
        <v>210</v>
      </c>
      <c r="C108" s="282">
        <f>IFERROR(('Income Statement'!C29*4)/-C107,0)</f>
        <v>9.6488116353316777E-2</v>
      </c>
      <c r="D108" s="282">
        <f>IFERROR(('Income Statement'!D29*4)/-D107,0)</f>
        <v>0.10693281055070397</v>
      </c>
      <c r="E108" s="283">
        <f>IFERROR('Income Statement'!E29/-E107,0)</f>
        <v>0.1206620395088094</v>
      </c>
      <c r="F108" s="282">
        <f>IFERROR(('Income Statement'!F29*4)/-F107,0)</f>
        <v>8.7245841035120147E-2</v>
      </c>
      <c r="G108" s="282">
        <f>IFERROR(('Income Statement'!G29*4)/-G107,0)</f>
        <v>9.4873756694720729E-2</v>
      </c>
      <c r="H108" s="282">
        <f>IFERROR(('Income Statement'!H29*4)/-H107,0)</f>
        <v>0.10099464422341239</v>
      </c>
      <c r="I108" s="282">
        <f>IFERROR(('Income Statement'!I29*4)/-I107,0)</f>
        <v>7.3052820053715314E-2</v>
      </c>
      <c r="J108" s="283">
        <f>IFERROR('Income Statement'!J29/-J107,0)</f>
        <v>8.2538581584879492E-2</v>
      </c>
      <c r="K108" s="282">
        <f>IFERROR(('Income Statement'!K29*4)/-K107,0)</f>
        <v>9.984820374430764E-2</v>
      </c>
      <c r="L108" s="282">
        <f>IFERROR(('Income Statement'!L29*4)/-L107,0)</f>
        <v>8.2929276040795849E-2</v>
      </c>
      <c r="M108" s="282">
        <f>IFERROR(('Income Statement'!M29*4)/-M107,0)</f>
        <v>9.0053763440860218E-2</v>
      </c>
      <c r="N108" s="282">
        <f>IFERROR(('Income Statement'!N29*4)/-N107,0)</f>
        <v>8.1784386617100371E-2</v>
      </c>
      <c r="O108" s="57">
        <f>IFERROR('Income Statement'!O29/-O107,0)</f>
        <v>6.2101583384741928E-2</v>
      </c>
      <c r="P108" s="284">
        <f>AVERAGE(K108:N108)</f>
        <v>8.8653907460766027E-2</v>
      </c>
      <c r="Q108" s="284">
        <f>AVERAGE(K108:N108)</f>
        <v>8.8653907460766027E-2</v>
      </c>
      <c r="R108" s="284">
        <f>AVERAGE(K108:N108)</f>
        <v>8.8653907460766027E-2</v>
      </c>
      <c r="S108" s="284">
        <f>AVERAGE(K108:N108)</f>
        <v>8.8653907460766027E-2</v>
      </c>
      <c r="T108" s="55">
        <f>AVERAGE(P108:S108)</f>
        <v>8.8653907460766027E-2</v>
      </c>
      <c r="U108" s="284">
        <f>AVERAGE(K108:N108)</f>
        <v>8.8653907460766027E-2</v>
      </c>
      <c r="V108" s="284">
        <f>AVERAGE(K108:N108)</f>
        <v>8.8653907460766027E-2</v>
      </c>
      <c r="W108" s="284">
        <f>AVERAGE(K108:N108)</f>
        <v>8.8653907460766027E-2</v>
      </c>
      <c r="X108" s="284">
        <f>AVERAGE(K108:N108)</f>
        <v>8.8653907460766027E-2</v>
      </c>
      <c r="Y108" s="57">
        <f>AVERAGE(U108:X108)</f>
        <v>8.8653907460766027E-2</v>
      </c>
    </row>
    <row r="109" spans="2:27" x14ac:dyDescent="0.2">
      <c r="B109" s="263" t="s">
        <v>211</v>
      </c>
      <c r="C109" s="272">
        <v>0.03</v>
      </c>
      <c r="D109" s="272">
        <v>0.03</v>
      </c>
      <c r="E109" s="273">
        <v>0.03</v>
      </c>
      <c r="F109" s="272">
        <v>0.03</v>
      </c>
      <c r="G109" s="272">
        <v>0.03</v>
      </c>
      <c r="H109" s="272">
        <v>0.03</v>
      </c>
      <c r="I109" s="272">
        <v>0.03</v>
      </c>
      <c r="J109" s="273">
        <v>0.03</v>
      </c>
      <c r="K109" s="272">
        <v>0.03</v>
      </c>
      <c r="L109" s="272">
        <v>0.03</v>
      </c>
      <c r="M109" s="272">
        <v>0.03</v>
      </c>
      <c r="N109" s="272">
        <v>0.03</v>
      </c>
      <c r="O109" s="193">
        <v>0.03</v>
      </c>
      <c r="P109" s="274">
        <v>0.03</v>
      </c>
      <c r="Q109" s="274">
        <v>0.03</v>
      </c>
      <c r="R109" s="274">
        <v>0.03</v>
      </c>
      <c r="S109" s="274">
        <v>0.03</v>
      </c>
      <c r="T109" s="191">
        <v>0.03</v>
      </c>
      <c r="U109" s="274">
        <v>0.03</v>
      </c>
      <c r="V109" s="274">
        <v>0.03</v>
      </c>
      <c r="W109" s="274">
        <v>0.03</v>
      </c>
      <c r="X109" s="274">
        <v>0.03</v>
      </c>
      <c r="Y109" s="193">
        <v>0.03</v>
      </c>
      <c r="AA109" s="154" t="s">
        <v>212</v>
      </c>
    </row>
    <row r="110" spans="2:27" x14ac:dyDescent="0.2"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7"/>
      <c r="P110" s="50"/>
      <c r="Q110" s="50"/>
      <c r="R110" s="50"/>
      <c r="S110" s="50"/>
      <c r="T110" s="55"/>
      <c r="U110" s="50"/>
      <c r="V110" s="50"/>
      <c r="W110" s="50"/>
      <c r="X110" s="50"/>
      <c r="Y110" s="55"/>
    </row>
    <row r="111" spans="2:27" x14ac:dyDescent="0.2">
      <c r="B111" s="9" t="s">
        <v>213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7"/>
      <c r="P111" s="50"/>
      <c r="Q111" s="50"/>
      <c r="R111" s="50"/>
      <c r="S111" s="50"/>
      <c r="T111" s="55"/>
      <c r="U111" s="50"/>
      <c r="V111" s="50"/>
      <c r="W111" s="50"/>
      <c r="X111" s="50"/>
      <c r="Y111" s="55"/>
    </row>
    <row r="112" spans="2:27" x14ac:dyDescent="0.2">
      <c r="B112" s="296" t="s">
        <v>214</v>
      </c>
      <c r="C112" s="290"/>
      <c r="D112" s="290"/>
      <c r="E112" s="291"/>
      <c r="F112" s="290"/>
      <c r="G112" s="290"/>
      <c r="H112" s="290"/>
      <c r="I112" s="290"/>
      <c r="J112" s="291"/>
      <c r="K112" s="290"/>
      <c r="L112" s="290"/>
      <c r="M112" s="290"/>
      <c r="N112" s="290"/>
      <c r="O112" s="194"/>
      <c r="P112" s="290"/>
      <c r="Q112" s="290"/>
      <c r="R112" s="290"/>
      <c r="S112" s="290"/>
      <c r="T112" s="211"/>
      <c r="U112" s="290"/>
      <c r="V112" s="290"/>
      <c r="W112" s="290"/>
      <c r="X112" s="290"/>
      <c r="Y112" s="194"/>
    </row>
    <row r="113" spans="2:27" x14ac:dyDescent="0.2">
      <c r="B113" s="293" t="s">
        <v>202</v>
      </c>
      <c r="C113" s="282">
        <f>C52-'Income Statement'!C38</f>
        <v>28</v>
      </c>
      <c r="D113" s="282">
        <f>C116</f>
        <v>-48</v>
      </c>
      <c r="E113" s="283">
        <f>C113</f>
        <v>28</v>
      </c>
      <c r="F113" s="282">
        <f>D116</f>
        <v>140</v>
      </c>
      <c r="G113" s="282">
        <f>F116</f>
        <v>459</v>
      </c>
      <c r="H113" s="282">
        <f>G116</f>
        <v>917</v>
      </c>
      <c r="I113" s="282">
        <f>H116</f>
        <v>1085</v>
      </c>
      <c r="J113" s="283">
        <f>F113</f>
        <v>140</v>
      </c>
      <c r="K113" s="282">
        <f>I116</f>
        <v>1153</v>
      </c>
      <c r="L113" s="282">
        <f>K116</f>
        <v>1018</v>
      </c>
      <c r="M113" s="282">
        <f>L116</f>
        <v>1090</v>
      </c>
      <c r="N113" s="282">
        <f>M116</f>
        <v>1297</v>
      </c>
      <c r="O113" s="57">
        <f>K113</f>
        <v>1153</v>
      </c>
      <c r="P113" s="284">
        <f>O52</f>
        <v>-612</v>
      </c>
      <c r="Q113" s="282">
        <f>P116</f>
        <v>-279.91825338576518</v>
      </c>
      <c r="R113" s="282">
        <f>Q116</f>
        <v>-47.480016718644151</v>
      </c>
      <c r="S113" s="282">
        <f>R116</f>
        <v>300.72368266897217</v>
      </c>
      <c r="T113" s="55">
        <f>P113</f>
        <v>-612</v>
      </c>
      <c r="U113" s="282">
        <f>S116</f>
        <v>616.55595885146272</v>
      </c>
      <c r="V113" s="282">
        <f>U116</f>
        <v>1087.717282005246</v>
      </c>
      <c r="W113" s="282">
        <f>V116</f>
        <v>1397.7610561999384</v>
      </c>
      <c r="X113" s="282">
        <f>W116</f>
        <v>1875.8609117029011</v>
      </c>
      <c r="Y113" s="57">
        <f>U113</f>
        <v>616.55595885146272</v>
      </c>
    </row>
    <row r="114" spans="2:27" x14ac:dyDescent="0.2">
      <c r="B114" s="259" t="s">
        <v>215</v>
      </c>
      <c r="C114" s="282">
        <f>'Income Statement'!C38</f>
        <v>-76</v>
      </c>
      <c r="D114" s="282">
        <f>'Income Statement'!D38</f>
        <v>188</v>
      </c>
      <c r="E114" s="283">
        <f>SUM(C114,D114)</f>
        <v>112</v>
      </c>
      <c r="F114" s="282">
        <f>'Income Statement'!F38</f>
        <v>319</v>
      </c>
      <c r="G114" s="282">
        <f>'Income Statement'!G38</f>
        <v>458</v>
      </c>
      <c r="H114" s="282">
        <f>'Income Statement'!H38</f>
        <v>168</v>
      </c>
      <c r="I114" s="282">
        <f>'Income Statement'!I38</f>
        <v>68</v>
      </c>
      <c r="J114" s="283">
        <f>SUM(F114,G114,H114,I114)</f>
        <v>1013</v>
      </c>
      <c r="K114" s="282">
        <f>'Income Statement'!K38</f>
        <v>-135</v>
      </c>
      <c r="L114" s="282">
        <f>'Income Statement'!L38</f>
        <v>72</v>
      </c>
      <c r="M114" s="282">
        <f>'Income Statement'!M38</f>
        <v>207</v>
      </c>
      <c r="N114" s="282">
        <f>'Income Statement'!N38</f>
        <v>-363</v>
      </c>
      <c r="O114" s="57">
        <f>SUM(K114,L114,M114,N114)</f>
        <v>-219</v>
      </c>
      <c r="P114" s="282">
        <f>'Income Statement'!P38</f>
        <v>332.08174661423482</v>
      </c>
      <c r="Q114" s="282">
        <f>'Income Statement'!Q38</f>
        <v>232.43823666712103</v>
      </c>
      <c r="R114" s="282">
        <f>'Income Statement'!R38</f>
        <v>348.20369938761633</v>
      </c>
      <c r="S114" s="282">
        <f>'Income Statement'!S38</f>
        <v>315.83227618249049</v>
      </c>
      <c r="T114" s="55">
        <f>SUM(P114,Q114,R114,S114)</f>
        <v>1228.5559588514627</v>
      </c>
      <c r="U114" s="282">
        <f>'Income Statement'!U38</f>
        <v>471.16132315378337</v>
      </c>
      <c r="V114" s="282">
        <f>'Income Statement'!V38</f>
        <v>310.04377419469239</v>
      </c>
      <c r="W114" s="282">
        <f>'Income Statement'!W38</f>
        <v>478.09985550296284</v>
      </c>
      <c r="X114" s="282">
        <f>'Income Statement'!X38</f>
        <v>469.64873278257028</v>
      </c>
      <c r="Y114" s="57">
        <f>SUM(U114,V114,W114,X114)</f>
        <v>1728.9536856340089</v>
      </c>
    </row>
    <row r="115" spans="2:27" x14ac:dyDescent="0.2">
      <c r="B115" s="259" t="s">
        <v>216</v>
      </c>
      <c r="C115" s="282">
        <v>0</v>
      </c>
      <c r="D115" s="282">
        <v>0</v>
      </c>
      <c r="E115" s="283">
        <f>SUM(C115,D115)</f>
        <v>0</v>
      </c>
      <c r="F115" s="282">
        <v>0</v>
      </c>
      <c r="G115" s="282">
        <v>0</v>
      </c>
      <c r="H115" s="282">
        <v>0</v>
      </c>
      <c r="I115" s="282">
        <v>0</v>
      </c>
      <c r="J115" s="283">
        <f>SUM(F115,G115,H115,I115)</f>
        <v>0</v>
      </c>
      <c r="K115" s="282">
        <v>0</v>
      </c>
      <c r="L115" s="282">
        <v>0</v>
      </c>
      <c r="M115" s="282">
        <v>0</v>
      </c>
      <c r="N115" s="282">
        <v>0</v>
      </c>
      <c r="O115" s="57">
        <f>SUM(K115,L115,M115,N115)</f>
        <v>0</v>
      </c>
      <c r="P115" s="287">
        <v>0</v>
      </c>
      <c r="Q115" s="287">
        <v>0</v>
      </c>
      <c r="R115" s="287">
        <v>0</v>
      </c>
      <c r="S115" s="287">
        <v>0</v>
      </c>
      <c r="T115" s="283">
        <f>SUM(P115,Q115,R115,S115)</f>
        <v>0</v>
      </c>
      <c r="U115" s="287">
        <v>0</v>
      </c>
      <c r="V115" s="287">
        <v>0</v>
      </c>
      <c r="W115" s="287">
        <v>0</v>
      </c>
      <c r="X115" s="287">
        <v>0</v>
      </c>
      <c r="Y115" s="57">
        <f>SUM(U115,V115,W115,X115)</f>
        <v>0</v>
      </c>
      <c r="AA115" s="154" t="s">
        <v>204</v>
      </c>
    </row>
    <row r="116" spans="2:27" x14ac:dyDescent="0.2">
      <c r="B116" s="293" t="s">
        <v>217</v>
      </c>
      <c r="C116" s="282">
        <f>SUM(C113:C115)</f>
        <v>-48</v>
      </c>
      <c r="D116" s="282">
        <f>SUM(D113:D115)</f>
        <v>140</v>
      </c>
      <c r="E116" s="283">
        <f>D116</f>
        <v>140</v>
      </c>
      <c r="F116" s="282">
        <f>SUM(F113:F115)</f>
        <v>459</v>
      </c>
      <c r="G116" s="282">
        <f>SUM(G113:G115)</f>
        <v>917</v>
      </c>
      <c r="H116" s="282">
        <f>SUM(H113:H115)</f>
        <v>1085</v>
      </c>
      <c r="I116" s="282">
        <f>SUM(I113:I115)</f>
        <v>1153</v>
      </c>
      <c r="J116" s="283">
        <f>I116</f>
        <v>1153</v>
      </c>
      <c r="K116" s="282">
        <f>SUM(K113:K115)</f>
        <v>1018</v>
      </c>
      <c r="L116" s="282">
        <f>SUM(L113:L115)</f>
        <v>1090</v>
      </c>
      <c r="M116" s="282">
        <f>SUM(M113:M115)</f>
        <v>1297</v>
      </c>
      <c r="N116" s="282">
        <f>SUM(N113:N115)</f>
        <v>934</v>
      </c>
      <c r="O116" s="57">
        <f>N116</f>
        <v>934</v>
      </c>
      <c r="P116" s="282">
        <f>SUM(P113:P115)</f>
        <v>-279.91825338576518</v>
      </c>
      <c r="Q116" s="282">
        <f>SUM(Q113:Q115)</f>
        <v>-47.480016718644151</v>
      </c>
      <c r="R116" s="282">
        <f>SUM(R113:R115)</f>
        <v>300.72368266897217</v>
      </c>
      <c r="S116" s="282">
        <f>SUM(S113:S115)</f>
        <v>616.55595885146272</v>
      </c>
      <c r="T116" s="283">
        <f>S116</f>
        <v>616.55595885146272</v>
      </c>
      <c r="U116" s="282">
        <f>SUM(U113:U115)</f>
        <v>1087.717282005246</v>
      </c>
      <c r="V116" s="282">
        <f>SUM(V113:V115)</f>
        <v>1397.7610561999384</v>
      </c>
      <c r="W116" s="282">
        <f>SUM(W113:W115)</f>
        <v>1875.8609117029011</v>
      </c>
      <c r="X116" s="282">
        <f>SUM(X113:X115)</f>
        <v>2345.5096444854717</v>
      </c>
      <c r="Y116" s="57">
        <f>X116</f>
        <v>2345.5096444854717</v>
      </c>
    </row>
    <row r="117" spans="2:27" x14ac:dyDescent="0.2">
      <c r="B117" s="65"/>
      <c r="C117" s="282"/>
      <c r="D117" s="282"/>
      <c r="E117" s="283"/>
      <c r="F117" s="282"/>
      <c r="G117" s="282"/>
      <c r="H117" s="282"/>
      <c r="I117" s="282"/>
      <c r="J117" s="283"/>
      <c r="K117" s="282"/>
      <c r="L117" s="282"/>
      <c r="M117" s="282"/>
      <c r="N117" s="282"/>
      <c r="O117" s="57"/>
      <c r="P117" s="282"/>
      <c r="Q117" s="282"/>
      <c r="R117" s="282"/>
      <c r="S117" s="282"/>
      <c r="T117" s="283"/>
      <c r="U117" s="282"/>
      <c r="V117" s="282"/>
      <c r="W117" s="282"/>
      <c r="X117" s="282"/>
      <c r="Y117" s="57"/>
    </row>
    <row r="118" spans="2:27" x14ac:dyDescent="0.2">
      <c r="B118" s="293" t="s">
        <v>218</v>
      </c>
      <c r="C118" s="282"/>
      <c r="D118" s="282"/>
      <c r="E118" s="283"/>
      <c r="F118" s="282"/>
      <c r="G118" s="282"/>
      <c r="H118" s="282"/>
      <c r="I118" s="282"/>
      <c r="J118" s="283"/>
      <c r="K118" s="282"/>
      <c r="L118" s="282"/>
      <c r="M118" s="282"/>
      <c r="N118" s="282"/>
      <c r="O118" s="281"/>
      <c r="P118" s="282"/>
      <c r="Q118" s="282"/>
      <c r="R118" s="282"/>
      <c r="S118" s="282"/>
      <c r="T118" s="283"/>
      <c r="U118" s="282"/>
      <c r="V118" s="282"/>
      <c r="W118" s="282"/>
      <c r="X118" s="282"/>
      <c r="Y118" s="57"/>
    </row>
    <row r="119" spans="2:27" x14ac:dyDescent="0.2">
      <c r="B119" s="293" t="s">
        <v>202</v>
      </c>
      <c r="C119" s="282">
        <f>C51-C120-C121</f>
        <v>2396</v>
      </c>
      <c r="D119" s="282">
        <f>C122</f>
        <v>2337</v>
      </c>
      <c r="E119" s="283">
        <f>C119</f>
        <v>2396</v>
      </c>
      <c r="F119" s="282">
        <f>D122</f>
        <v>2337</v>
      </c>
      <c r="G119" s="282">
        <f>F122</f>
        <v>2268</v>
      </c>
      <c r="H119" s="282">
        <f>G122</f>
        <v>1616</v>
      </c>
      <c r="I119" s="282">
        <f>H122</f>
        <v>1311</v>
      </c>
      <c r="J119" s="283">
        <f>F119</f>
        <v>2337</v>
      </c>
      <c r="K119" s="282">
        <f>I122</f>
        <v>206</v>
      </c>
      <c r="L119" s="282">
        <f>K122</f>
        <v>123</v>
      </c>
      <c r="M119" s="282">
        <f>L122</f>
        <v>103</v>
      </c>
      <c r="N119" s="282">
        <f>M122</f>
        <v>103</v>
      </c>
      <c r="O119" s="281">
        <f>K119</f>
        <v>206</v>
      </c>
      <c r="P119" s="282">
        <f>O51</f>
        <v>1709</v>
      </c>
      <c r="Q119" s="282">
        <f>P122</f>
        <v>1709</v>
      </c>
      <c r="R119" s="282">
        <f>Q122</f>
        <v>1709</v>
      </c>
      <c r="S119" s="282">
        <f>R122</f>
        <v>1709</v>
      </c>
      <c r="T119" s="283">
        <f>P119</f>
        <v>1709</v>
      </c>
      <c r="U119" s="282">
        <f>S122</f>
        <v>1709</v>
      </c>
      <c r="V119" s="282">
        <f>U122</f>
        <v>1709</v>
      </c>
      <c r="W119" s="282">
        <f>V122</f>
        <v>1709</v>
      </c>
      <c r="X119" s="282">
        <f>W122</f>
        <v>1709</v>
      </c>
      <c r="Y119" s="281">
        <f>U119</f>
        <v>1709</v>
      </c>
    </row>
    <row r="120" spans="2:27" x14ac:dyDescent="0.2">
      <c r="B120" s="259" t="s">
        <v>219</v>
      </c>
      <c r="C120" s="282">
        <f>'Cash Flow Statement'!C8</f>
        <v>0</v>
      </c>
      <c r="D120" s="282">
        <f>'Cash Flow Statement'!D8</f>
        <v>0</v>
      </c>
      <c r="E120" s="283">
        <f>SUM(C120,D120)</f>
        <v>0</v>
      </c>
      <c r="F120" s="282">
        <f>'Cash Flow Statement'!F8</f>
        <v>0</v>
      </c>
      <c r="G120" s="282">
        <f>'Cash Flow Statement'!G8</f>
        <v>0</v>
      </c>
      <c r="H120" s="282">
        <f>'Cash Flow Statement'!H8</f>
        <v>0</v>
      </c>
      <c r="I120" s="282">
        <f>'Cash Flow Statement'!I8</f>
        <v>0</v>
      </c>
      <c r="J120" s="283">
        <f>SUM(F120,G120,H120,I120)</f>
        <v>0</v>
      </c>
      <c r="K120" s="282">
        <f>'Cash Flow Statement'!K8</f>
        <v>0</v>
      </c>
      <c r="L120" s="282">
        <f>'Cash Flow Statement'!L8</f>
        <v>0</v>
      </c>
      <c r="M120" s="282">
        <f>'Cash Flow Statement'!M8</f>
        <v>0</v>
      </c>
      <c r="N120" s="282">
        <f>'Cash Flow Statement'!N8</f>
        <v>526</v>
      </c>
      <c r="O120" s="281">
        <f>SUM(K120,L120,M120,N120)</f>
        <v>526</v>
      </c>
      <c r="P120" s="282">
        <f>'Cash Flow Statement'!P8</f>
        <v>0</v>
      </c>
      <c r="Q120" s="282">
        <f>'Cash Flow Statement'!Q8</f>
        <v>0</v>
      </c>
      <c r="R120" s="282">
        <f>'Cash Flow Statement'!R8</f>
        <v>0</v>
      </c>
      <c r="S120" s="282">
        <f>'Cash Flow Statement'!S8</f>
        <v>0</v>
      </c>
      <c r="T120" s="283">
        <f>SUM(P120,Q120,R120,S120)</f>
        <v>0</v>
      </c>
      <c r="U120" s="282">
        <f>'Cash Flow Statement'!U8</f>
        <v>0</v>
      </c>
      <c r="V120" s="282">
        <f>'Cash Flow Statement'!V8</f>
        <v>0</v>
      </c>
      <c r="W120" s="282">
        <f>'Cash Flow Statement'!W8</f>
        <v>0</v>
      </c>
      <c r="X120" s="282">
        <f>'Cash Flow Statement'!X8</f>
        <v>0</v>
      </c>
      <c r="Y120" s="281">
        <f>SUM(U120,V120,W120,X120)</f>
        <v>0</v>
      </c>
      <c r="AA120" s="8"/>
    </row>
    <row r="121" spans="2:27" x14ac:dyDescent="0.2">
      <c r="B121" s="259" t="s">
        <v>220</v>
      </c>
      <c r="C121" s="282">
        <f>'Cash Flow Statement'!C51+'Cash Flow Statement'!C71</f>
        <v>-59</v>
      </c>
      <c r="D121" s="282">
        <f>'Cash Flow Statement'!D51+'Cash Flow Statement'!D71</f>
        <v>0</v>
      </c>
      <c r="E121" s="283">
        <f>SUM(C121,D121)</f>
        <v>-59</v>
      </c>
      <c r="F121" s="282">
        <f>'Cash Flow Statement'!F51+'Cash Flow Statement'!F71</f>
        <v>-69</v>
      </c>
      <c r="G121" s="282">
        <f>'Cash Flow Statement'!G51+'Cash Flow Statement'!G71</f>
        <v>-652</v>
      </c>
      <c r="H121" s="282">
        <f>'Cash Flow Statement'!H51+'Cash Flow Statement'!H71</f>
        <v>-305</v>
      </c>
      <c r="I121" s="282">
        <f>'Cash Flow Statement'!I51+'Cash Flow Statement'!I71</f>
        <v>-1105</v>
      </c>
      <c r="J121" s="283">
        <f>SUM(F121,G121,H121,I121)</f>
        <v>-2131</v>
      </c>
      <c r="K121" s="282">
        <f>'Cash Flow Statement'!K51+'Cash Flow Statement'!K71</f>
        <v>-83</v>
      </c>
      <c r="L121" s="282">
        <f>'Cash Flow Statement'!L51+'Cash Flow Statement'!L71</f>
        <v>-20</v>
      </c>
      <c r="M121" s="282">
        <f>'Cash Flow Statement'!M51+'Cash Flow Statement'!M71</f>
        <v>0</v>
      </c>
      <c r="N121" s="282">
        <f>'Cash Flow Statement'!N51+'Cash Flow Statement'!N71</f>
        <v>0</v>
      </c>
      <c r="O121" s="281">
        <f>SUM(K121,L121,M121,N121)</f>
        <v>-103</v>
      </c>
      <c r="P121" s="282">
        <f>'Cash Flow Statement'!P51+'Cash Flow Statement'!P71</f>
        <v>0</v>
      </c>
      <c r="Q121" s="282">
        <f>'Cash Flow Statement'!Q51+'Cash Flow Statement'!Q71</f>
        <v>0</v>
      </c>
      <c r="R121" s="282">
        <f>'Cash Flow Statement'!R51+'Cash Flow Statement'!R71</f>
        <v>0</v>
      </c>
      <c r="S121" s="282">
        <f>'Cash Flow Statement'!S51+'Cash Flow Statement'!S71</f>
        <v>0</v>
      </c>
      <c r="T121" s="283">
        <f>SUM(P121,Q121,R121,S121)</f>
        <v>0</v>
      </c>
      <c r="U121" s="282">
        <f>'Cash Flow Statement'!U51+'Cash Flow Statement'!U71</f>
        <v>0</v>
      </c>
      <c r="V121" s="282">
        <f>'Cash Flow Statement'!V51+'Cash Flow Statement'!V71</f>
        <v>0</v>
      </c>
      <c r="W121" s="282">
        <f>'Cash Flow Statement'!W51+'Cash Flow Statement'!W71</f>
        <v>0</v>
      </c>
      <c r="X121" s="282">
        <f>'Cash Flow Statement'!X51+'Cash Flow Statement'!X71</f>
        <v>0</v>
      </c>
      <c r="Y121" s="281">
        <f>SUM(U121,V121,W121,X121)</f>
        <v>0</v>
      </c>
    </row>
    <row r="122" spans="2:27" x14ac:dyDescent="0.2">
      <c r="B122" s="294" t="s">
        <v>221</v>
      </c>
      <c r="C122" s="297">
        <f>SUM(C119:C121)</f>
        <v>2337</v>
      </c>
      <c r="D122" s="297">
        <f>SUM(D119:D121)</f>
        <v>2337</v>
      </c>
      <c r="E122" s="285">
        <f>D122</f>
        <v>2337</v>
      </c>
      <c r="F122" s="297">
        <f>SUM(F119:F121)</f>
        <v>2268</v>
      </c>
      <c r="G122" s="297">
        <f>SUM(G119:G121)</f>
        <v>1616</v>
      </c>
      <c r="H122" s="297">
        <f>SUM(H119:H121)</f>
        <v>1311</v>
      </c>
      <c r="I122" s="297">
        <f>SUM(I119:I121)</f>
        <v>206</v>
      </c>
      <c r="J122" s="285">
        <f>I122</f>
        <v>206</v>
      </c>
      <c r="K122" s="297">
        <f>SUM(K119:K121)</f>
        <v>123</v>
      </c>
      <c r="L122" s="297">
        <f>SUM(L119:L121)</f>
        <v>103</v>
      </c>
      <c r="M122" s="297">
        <f>SUM(M119:M121)</f>
        <v>103</v>
      </c>
      <c r="N122" s="297">
        <f>SUM(N119:N121)</f>
        <v>629</v>
      </c>
      <c r="O122" s="286">
        <f>N122</f>
        <v>629</v>
      </c>
      <c r="P122" s="297">
        <f>SUM(P119:P121)</f>
        <v>1709</v>
      </c>
      <c r="Q122" s="297">
        <f>SUM(Q119:Q121)</f>
        <v>1709</v>
      </c>
      <c r="R122" s="297">
        <f>SUM(R119:R121)</f>
        <v>1709</v>
      </c>
      <c r="S122" s="297">
        <f>SUM(S119:S121)</f>
        <v>1709</v>
      </c>
      <c r="T122" s="285">
        <f>S122</f>
        <v>1709</v>
      </c>
      <c r="U122" s="297">
        <f>SUM(U119:U121)</f>
        <v>1709</v>
      </c>
      <c r="V122" s="297">
        <f>SUM(V119:V121)</f>
        <v>1709</v>
      </c>
      <c r="W122" s="297">
        <f>SUM(W119:W121)</f>
        <v>1709</v>
      </c>
      <c r="X122" s="297">
        <f>SUM(X119:X121)</f>
        <v>1709</v>
      </c>
      <c r="Y122" s="286">
        <f>X122</f>
        <v>1709</v>
      </c>
    </row>
    <row r="123" spans="2:27" x14ac:dyDescent="0.2"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</row>
  </sheetData>
  <conditionalFormatting sqref="C60:Y60">
    <cfRule type="cellIs" dxfId="3" priority="1" operator="equal">
      <formula>0</formula>
    </cfRule>
    <cfRule type="cellIs" dxfId="2" priority="2" operator="notEqual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D87C-DFA4-DD4B-869C-4BE242569FD7}">
  <dimension ref="B1:AI78"/>
  <sheetViews>
    <sheetView showGridLines="0" zoomScale="71" workbookViewId="0">
      <selection activeCell="S37" sqref="S37"/>
    </sheetView>
  </sheetViews>
  <sheetFormatPr baseColWidth="10" defaultColWidth="10.83203125" defaultRowHeight="16" outlineLevelRow="1" outlineLevelCol="1" x14ac:dyDescent="0.2"/>
  <cols>
    <col min="1" max="1" width="1.83203125" style="8" customWidth="1"/>
    <col min="2" max="2" width="69" style="8" bestFit="1" customWidth="1"/>
    <col min="3" max="4" width="10.33203125" style="8" hidden="1" customWidth="1" outlineLevel="1"/>
    <col min="5" max="5" width="10.33203125" style="8" customWidth="1" collapsed="1"/>
    <col min="6" max="9" width="10.33203125" style="8" hidden="1" customWidth="1" outlineLevel="1"/>
    <col min="10" max="10" width="10.33203125" style="8" customWidth="1" collapsed="1"/>
    <col min="11" max="14" width="10.33203125" style="8" hidden="1" customWidth="1" outlineLevel="1"/>
    <col min="15" max="15" width="10.33203125" style="8" customWidth="1" collapsed="1"/>
    <col min="16" max="19" width="10.83203125" style="8" customWidth="1" outlineLevel="1"/>
    <col min="20" max="20" width="10.83203125" style="8"/>
    <col min="21" max="24" width="0" style="8" hidden="1" customWidth="1" outlineLevel="1"/>
    <col min="25" max="25" width="10.83203125" style="8" collapsed="1"/>
    <col min="26" max="30" width="10.83203125" style="154"/>
    <col min="31" max="16384" width="10.83203125" style="8"/>
  </cols>
  <sheetData>
    <row r="1" spans="2:35" ht="10" customHeight="1" x14ac:dyDescent="0.2"/>
    <row r="2" spans="2:35" x14ac:dyDescent="0.2"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43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2:35" x14ac:dyDescent="0.2">
      <c r="B3" s="2" t="s">
        <v>222</v>
      </c>
      <c r="C3" s="16">
        <v>45170</v>
      </c>
      <c r="D3" s="16">
        <v>45261</v>
      </c>
      <c r="E3" s="17">
        <v>45261</v>
      </c>
      <c r="F3" s="16">
        <v>45352</v>
      </c>
      <c r="G3" s="16">
        <v>45444</v>
      </c>
      <c r="H3" s="16">
        <v>45536</v>
      </c>
      <c r="I3" s="16">
        <v>45627</v>
      </c>
      <c r="J3" s="17">
        <v>45627</v>
      </c>
      <c r="K3" s="16">
        <v>45717</v>
      </c>
      <c r="L3" s="16">
        <v>45809</v>
      </c>
      <c r="M3" s="16">
        <v>45901</v>
      </c>
      <c r="N3" s="16">
        <v>45992</v>
      </c>
      <c r="O3" s="374">
        <v>45992</v>
      </c>
      <c r="P3" s="18">
        <v>46082</v>
      </c>
      <c r="Q3" s="18">
        <v>46174</v>
      </c>
      <c r="R3" s="18">
        <v>46266</v>
      </c>
      <c r="S3" s="18">
        <v>46357</v>
      </c>
      <c r="T3" s="19">
        <v>46357</v>
      </c>
      <c r="U3" s="18">
        <v>46447</v>
      </c>
      <c r="V3" s="18">
        <v>46539</v>
      </c>
      <c r="W3" s="18">
        <v>46631</v>
      </c>
      <c r="X3" s="18">
        <v>46722</v>
      </c>
      <c r="Y3" s="19">
        <v>46722</v>
      </c>
      <c r="Z3" s="155"/>
      <c r="AA3" s="155"/>
      <c r="AB3" s="155"/>
      <c r="AC3" s="155"/>
      <c r="AD3" s="156"/>
      <c r="AE3" s="79"/>
      <c r="AF3" s="79"/>
      <c r="AG3" s="79"/>
      <c r="AH3" s="79"/>
      <c r="AI3" s="80"/>
    </row>
    <row r="4" spans="2:35" x14ac:dyDescent="0.2">
      <c r="B4" s="2"/>
      <c r="C4" s="12" t="s">
        <v>20</v>
      </c>
      <c r="D4" s="12" t="s">
        <v>21</v>
      </c>
      <c r="E4" s="13" t="s">
        <v>22</v>
      </c>
      <c r="F4" s="12" t="s">
        <v>23</v>
      </c>
      <c r="G4" s="12" t="s">
        <v>24</v>
      </c>
      <c r="H4" s="12" t="s">
        <v>25</v>
      </c>
      <c r="I4" s="12" t="s">
        <v>26</v>
      </c>
      <c r="J4" s="13" t="s">
        <v>27</v>
      </c>
      <c r="K4" s="12" t="s">
        <v>28</v>
      </c>
      <c r="L4" s="12" t="s">
        <v>29</v>
      </c>
      <c r="M4" s="12" t="s">
        <v>30</v>
      </c>
      <c r="N4" s="12" t="s">
        <v>31</v>
      </c>
      <c r="O4" s="375" t="s">
        <v>32</v>
      </c>
      <c r="P4" s="20" t="s">
        <v>33</v>
      </c>
      <c r="Q4" s="20" t="s">
        <v>34</v>
      </c>
      <c r="R4" s="20" t="s">
        <v>35</v>
      </c>
      <c r="S4" s="20" t="s">
        <v>36</v>
      </c>
      <c r="T4" s="14" t="s">
        <v>37</v>
      </c>
      <c r="U4" s="20" t="s">
        <v>38</v>
      </c>
      <c r="V4" s="20" t="s">
        <v>39</v>
      </c>
      <c r="W4" s="20" t="s">
        <v>40</v>
      </c>
      <c r="X4" s="20" t="s">
        <v>41</v>
      </c>
      <c r="Y4" s="14" t="s">
        <v>42</v>
      </c>
      <c r="Z4" s="157"/>
      <c r="AA4" s="157"/>
      <c r="AB4" s="158"/>
      <c r="AC4" s="158"/>
      <c r="AD4" s="159"/>
      <c r="AE4" s="81"/>
      <c r="AF4" s="81"/>
      <c r="AG4" s="82"/>
      <c r="AH4" s="82"/>
      <c r="AI4" s="83"/>
    </row>
    <row r="5" spans="2:35" x14ac:dyDescent="0.2">
      <c r="B5" s="3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/>
      <c r="P5" s="3"/>
      <c r="Q5" s="3"/>
      <c r="R5" s="3"/>
      <c r="S5" s="3"/>
      <c r="T5" s="3"/>
      <c r="U5" s="3"/>
      <c r="V5" s="3"/>
      <c r="W5" s="3"/>
      <c r="X5" s="3"/>
      <c r="Y5" s="3"/>
    </row>
    <row r="6" spans="2:35" x14ac:dyDescent="0.2">
      <c r="E6" s="22"/>
      <c r="J6" s="22"/>
      <c r="O6" s="30"/>
      <c r="T6" s="22"/>
      <c r="Y6" s="22"/>
    </row>
    <row r="7" spans="2:35" x14ac:dyDescent="0.2">
      <c r="B7" s="68" t="s">
        <v>223</v>
      </c>
      <c r="C7" s="59">
        <f>'Income Statement'!C38</f>
        <v>-76</v>
      </c>
      <c r="D7" s="59">
        <f>'Income Statement'!D38</f>
        <v>188</v>
      </c>
      <c r="E7" s="60">
        <f>'Income Statement'!E38</f>
        <v>608</v>
      </c>
      <c r="F7" s="59">
        <f>'Income Statement'!F38</f>
        <v>319</v>
      </c>
      <c r="G7" s="59">
        <f>'Income Statement'!G38</f>
        <v>458</v>
      </c>
      <c r="H7" s="59">
        <f>'Income Statement'!H38</f>
        <v>168</v>
      </c>
      <c r="I7" s="59">
        <f>'Income Statement'!I38</f>
        <v>68</v>
      </c>
      <c r="J7" s="60">
        <f>'Income Statement'!J38</f>
        <v>1013</v>
      </c>
      <c r="K7" s="59">
        <f>'Income Statement'!K38</f>
        <v>-135</v>
      </c>
      <c r="L7" s="59">
        <f>'Income Statement'!L38</f>
        <v>72</v>
      </c>
      <c r="M7" s="59">
        <f>'Income Statement'!M38</f>
        <v>207</v>
      </c>
      <c r="N7" s="59">
        <f>'Income Statement'!N38</f>
        <v>-363</v>
      </c>
      <c r="O7" s="60">
        <f>'Income Statement'!O38</f>
        <v>-219</v>
      </c>
      <c r="P7" s="275">
        <f>'Income Statement'!P38</f>
        <v>332.08174661423482</v>
      </c>
      <c r="Q7" s="276">
        <f>'Income Statement'!Q38</f>
        <v>232.43823666712103</v>
      </c>
      <c r="R7" s="276">
        <f>'Income Statement'!R38</f>
        <v>348.20369938761633</v>
      </c>
      <c r="S7" s="276">
        <f>'Income Statement'!S38</f>
        <v>315.83227618249049</v>
      </c>
      <c r="T7" s="277">
        <f>'Income Statement'!T38</f>
        <v>1228.555958851462</v>
      </c>
      <c r="U7" s="276">
        <f>'Income Statement'!U38</f>
        <v>471.16132315378337</v>
      </c>
      <c r="V7" s="276">
        <f>'Income Statement'!V38</f>
        <v>310.04377419469239</v>
      </c>
      <c r="W7" s="276">
        <f>'Income Statement'!W38</f>
        <v>478.09985550296284</v>
      </c>
      <c r="X7" s="276">
        <f>'Income Statement'!X38</f>
        <v>469.64873278257028</v>
      </c>
      <c r="Y7" s="277">
        <f>'Income Statement'!Y38</f>
        <v>1728.9536856340087</v>
      </c>
    </row>
    <row r="8" spans="2:35" x14ac:dyDescent="0.2">
      <c r="B8" s="197" t="s">
        <v>224</v>
      </c>
      <c r="C8" s="198">
        <v>0</v>
      </c>
      <c r="D8" s="198">
        <v>0</v>
      </c>
      <c r="E8" s="202">
        <v>0</v>
      </c>
      <c r="F8" s="198">
        <v>0</v>
      </c>
      <c r="G8" s="198">
        <v>0</v>
      </c>
      <c r="H8" s="198">
        <v>0</v>
      </c>
      <c r="I8" s="198">
        <v>0</v>
      </c>
      <c r="J8" s="202">
        <v>0</v>
      </c>
      <c r="K8" s="198">
        <v>0</v>
      </c>
      <c r="L8" s="198">
        <v>0</v>
      </c>
      <c r="M8" s="198">
        <v>0</v>
      </c>
      <c r="N8" s="198">
        <v>526</v>
      </c>
      <c r="O8" s="204">
        <v>526</v>
      </c>
      <c r="P8" s="50">
        <v>0</v>
      </c>
      <c r="Q8" s="50">
        <v>0</v>
      </c>
      <c r="R8" s="50">
        <v>0</v>
      </c>
      <c r="S8" s="50">
        <v>0</v>
      </c>
      <c r="T8" s="55">
        <f>SUM(P8:S8)</f>
        <v>0</v>
      </c>
      <c r="U8" s="50">
        <v>0</v>
      </c>
      <c r="V8" s="50">
        <v>0</v>
      </c>
      <c r="W8" s="50">
        <v>0</v>
      </c>
      <c r="X8" s="50">
        <v>0</v>
      </c>
      <c r="Y8" s="55">
        <f>SUM(U8:X8)</f>
        <v>0</v>
      </c>
    </row>
    <row r="9" spans="2:35" hidden="1" outlineLevel="1" x14ac:dyDescent="0.2">
      <c r="B9" s="199" t="s">
        <v>225</v>
      </c>
      <c r="C9" s="198">
        <v>0</v>
      </c>
      <c r="D9" s="198">
        <v>0</v>
      </c>
      <c r="E9" s="202">
        <v>0</v>
      </c>
      <c r="F9" s="198">
        <v>0</v>
      </c>
      <c r="G9" s="198">
        <v>0</v>
      </c>
      <c r="H9" s="198">
        <v>0</v>
      </c>
      <c r="I9" s="198">
        <v>0</v>
      </c>
      <c r="J9" s="202">
        <v>0</v>
      </c>
      <c r="K9" s="198">
        <v>0</v>
      </c>
      <c r="L9" s="198">
        <v>0</v>
      </c>
      <c r="M9" s="198">
        <v>0</v>
      </c>
      <c r="N9" s="198">
        <v>-36</v>
      </c>
      <c r="O9" s="204">
        <v>-36</v>
      </c>
      <c r="P9" s="50">
        <v>0</v>
      </c>
      <c r="Q9" s="50">
        <v>0</v>
      </c>
      <c r="R9" s="50">
        <v>0</v>
      </c>
      <c r="S9" s="50">
        <v>0</v>
      </c>
      <c r="T9" s="55">
        <f>SUM(P9:S9)</f>
        <v>0</v>
      </c>
      <c r="U9" s="50">
        <v>0</v>
      </c>
      <c r="V9" s="50">
        <v>0</v>
      </c>
      <c r="W9" s="50">
        <v>0</v>
      </c>
      <c r="X9" s="50">
        <v>0</v>
      </c>
      <c r="Y9" s="55">
        <f>SUM(U9:X9)</f>
        <v>0</v>
      </c>
    </row>
    <row r="10" spans="2:35" hidden="1" outlineLevel="1" x14ac:dyDescent="0.2">
      <c r="B10" s="199" t="s">
        <v>226</v>
      </c>
      <c r="C10" s="198">
        <v>0</v>
      </c>
      <c r="D10" s="198">
        <v>0</v>
      </c>
      <c r="E10" s="202">
        <v>0</v>
      </c>
      <c r="F10" s="198">
        <v>-324</v>
      </c>
      <c r="G10" s="198">
        <v>-562</v>
      </c>
      <c r="H10" s="198">
        <v>0</v>
      </c>
      <c r="I10" s="198">
        <v>0</v>
      </c>
      <c r="J10" s="202">
        <v>-886</v>
      </c>
      <c r="K10" s="198">
        <v>0</v>
      </c>
      <c r="L10" s="198">
        <v>0</v>
      </c>
      <c r="M10" s="198">
        <v>-36</v>
      </c>
      <c r="N10" s="198">
        <v>36</v>
      </c>
      <c r="O10" s="204">
        <v>0</v>
      </c>
      <c r="P10" s="50">
        <v>0</v>
      </c>
      <c r="Q10" s="50">
        <v>0</v>
      </c>
      <c r="R10" s="50">
        <v>0</v>
      </c>
      <c r="S10" s="50">
        <v>0</v>
      </c>
      <c r="T10" s="55">
        <f>SUM(P10:S10)</f>
        <v>0</v>
      </c>
      <c r="U10" s="50">
        <v>0</v>
      </c>
      <c r="V10" s="50">
        <v>0</v>
      </c>
      <c r="W10" s="50">
        <v>0</v>
      </c>
      <c r="X10" s="50">
        <v>0</v>
      </c>
      <c r="Y10" s="55">
        <f>SUM(U10:X10)</f>
        <v>0</v>
      </c>
    </row>
    <row r="11" spans="2:35" collapsed="1" x14ac:dyDescent="0.2">
      <c r="B11" s="197" t="s">
        <v>225</v>
      </c>
      <c r="C11" s="196">
        <f>SUM(C9:C10)</f>
        <v>0</v>
      </c>
      <c r="D11" s="196">
        <f t="shared" ref="D11:O11" si="0">SUM(D9:D10)</f>
        <v>0</v>
      </c>
      <c r="E11" s="186">
        <f t="shared" si="0"/>
        <v>0</v>
      </c>
      <c r="F11" s="196">
        <f t="shared" si="0"/>
        <v>-324</v>
      </c>
      <c r="G11" s="196">
        <f t="shared" si="0"/>
        <v>-562</v>
      </c>
      <c r="H11" s="196">
        <f t="shared" si="0"/>
        <v>0</v>
      </c>
      <c r="I11" s="196">
        <f t="shared" si="0"/>
        <v>0</v>
      </c>
      <c r="J11" s="186">
        <f t="shared" si="0"/>
        <v>-886</v>
      </c>
      <c r="K11" s="196">
        <f t="shared" si="0"/>
        <v>0</v>
      </c>
      <c r="L11" s="196">
        <f t="shared" si="0"/>
        <v>0</v>
      </c>
      <c r="M11" s="196">
        <f t="shared" si="0"/>
        <v>-36</v>
      </c>
      <c r="N11" s="196">
        <f t="shared" si="0"/>
        <v>0</v>
      </c>
      <c r="O11" s="205">
        <f t="shared" si="0"/>
        <v>-36</v>
      </c>
      <c r="P11" s="50">
        <f>SUM(P9:P10)</f>
        <v>0</v>
      </c>
      <c r="Q11" s="50">
        <f t="shared" ref="Q11:S11" si="1">SUM(Q9:Q10)</f>
        <v>0</v>
      </c>
      <c r="R11" s="50">
        <f t="shared" si="1"/>
        <v>0</v>
      </c>
      <c r="S11" s="50">
        <f t="shared" si="1"/>
        <v>0</v>
      </c>
      <c r="T11" s="55">
        <f>SUM(T9:T10)</f>
        <v>0</v>
      </c>
      <c r="U11" s="50">
        <f>SUM(U9:U10)</f>
        <v>0</v>
      </c>
      <c r="V11" s="50">
        <f t="shared" ref="V11:X11" si="2">SUM(V9:V10)</f>
        <v>0</v>
      </c>
      <c r="W11" s="50">
        <f t="shared" si="2"/>
        <v>0</v>
      </c>
      <c r="X11" s="50">
        <f t="shared" si="2"/>
        <v>0</v>
      </c>
      <c r="Y11" s="55">
        <f>SUM(Y9:Y10)</f>
        <v>0</v>
      </c>
    </row>
    <row r="12" spans="2:35" outlineLevel="1" x14ac:dyDescent="0.2">
      <c r="B12" s="199" t="s">
        <v>227</v>
      </c>
      <c r="C12" s="196">
        <v>53</v>
      </c>
      <c r="D12" s="196">
        <v>57</v>
      </c>
      <c r="E12" s="186">
        <v>305</v>
      </c>
      <c r="F12" s="196">
        <v>60</v>
      </c>
      <c r="G12" s="196">
        <v>56</v>
      </c>
      <c r="H12" s="196">
        <v>56</v>
      </c>
      <c r="I12" s="196">
        <v>53</v>
      </c>
      <c r="J12" s="186">
        <v>225</v>
      </c>
      <c r="K12" s="196">
        <v>55</v>
      </c>
      <c r="L12" s="196">
        <v>52</v>
      </c>
      <c r="M12" s="196">
        <v>46</v>
      </c>
      <c r="N12" s="196">
        <v>58</v>
      </c>
      <c r="O12" s="205">
        <f>SUM(K12:N12)</f>
        <v>211</v>
      </c>
      <c r="P12" s="50">
        <f>'Balance Sheet'!P65</f>
        <v>-68.087076346099295</v>
      </c>
      <c r="Q12" s="50">
        <f>'Balance Sheet'!Q65</f>
        <v>-49.322184819290783</v>
      </c>
      <c r="R12" s="50">
        <f>'Balance Sheet'!R65</f>
        <v>-69.945415714042568</v>
      </c>
      <c r="S12" s="50">
        <f>'Balance Sheet'!S65</f>
        <v>-68.008201770212779</v>
      </c>
      <c r="T12" s="55">
        <f>SUM(P12:S12)</f>
        <v>-255.36287864964544</v>
      </c>
      <c r="U12" s="50">
        <f>'Balance Sheet'!U65</f>
        <v>-79.997187368321534</v>
      </c>
      <c r="V12" s="50">
        <f>'Balance Sheet'!V65</f>
        <v>-55.893293064321519</v>
      </c>
      <c r="W12" s="50">
        <f>'Balance Sheet'!W65</f>
        <v>-81.894528541049667</v>
      </c>
      <c r="X12" s="50">
        <f>'Balance Sheet'!X65</f>
        <v>-80.659427690212766</v>
      </c>
      <c r="Y12" s="55">
        <f>SUM(U12:X12)</f>
        <v>-298.44443666390544</v>
      </c>
    </row>
    <row r="13" spans="2:35" outlineLevel="1" x14ac:dyDescent="0.2">
      <c r="B13" s="199" t="s">
        <v>228</v>
      </c>
      <c r="C13" s="244">
        <v>0</v>
      </c>
      <c r="D13" s="244">
        <v>0</v>
      </c>
      <c r="E13" s="245">
        <v>5</v>
      </c>
      <c r="F13" s="244">
        <v>2</v>
      </c>
      <c r="G13" s="244">
        <v>4</v>
      </c>
      <c r="H13" s="244">
        <v>5</v>
      </c>
      <c r="I13" s="244">
        <v>5</v>
      </c>
      <c r="J13" s="245">
        <v>16</v>
      </c>
      <c r="K13" s="244">
        <v>5</v>
      </c>
      <c r="L13" s="244">
        <v>3</v>
      </c>
      <c r="M13" s="244">
        <v>1</v>
      </c>
      <c r="N13" s="244">
        <v>1</v>
      </c>
      <c r="O13" s="246">
        <v>10</v>
      </c>
      <c r="P13" s="50">
        <f>AVERAGE(K13:N13)</f>
        <v>2.5</v>
      </c>
      <c r="Q13" s="50">
        <f t="shared" ref="Q13:S14" si="3">AVERAGE(L13:O13)</f>
        <v>3.75</v>
      </c>
      <c r="R13" s="50">
        <f t="shared" si="3"/>
        <v>3.625</v>
      </c>
      <c r="S13" s="50">
        <f t="shared" si="3"/>
        <v>4.3125</v>
      </c>
      <c r="T13" s="55">
        <f>SUM(P13:S13)</f>
        <v>14.1875</v>
      </c>
      <c r="U13" s="50">
        <f>AVERAGE(P13:S13)</f>
        <v>3.546875</v>
      </c>
      <c r="V13" s="50">
        <f t="shared" ref="V13:X14" si="4">AVERAGE(Q13:T13)</f>
        <v>6.46875</v>
      </c>
      <c r="W13" s="50">
        <f t="shared" si="4"/>
        <v>6.41796875</v>
      </c>
      <c r="X13" s="50">
        <f t="shared" si="4"/>
        <v>7.12890625</v>
      </c>
      <c r="Y13" s="55">
        <f>SUM(U13:X13)</f>
        <v>23.5625</v>
      </c>
    </row>
    <row r="14" spans="2:35" outlineLevel="1" x14ac:dyDescent="0.2">
      <c r="B14" s="199" t="s">
        <v>229</v>
      </c>
      <c r="C14" s="244">
        <v>13</v>
      </c>
      <c r="D14" s="244">
        <v>14</v>
      </c>
      <c r="E14" s="245">
        <v>55</v>
      </c>
      <c r="F14" s="244">
        <v>13</v>
      </c>
      <c r="G14" s="244">
        <v>15</v>
      </c>
      <c r="H14" s="244">
        <v>14</v>
      </c>
      <c r="I14" s="244">
        <v>15</v>
      </c>
      <c r="J14" s="245">
        <v>57</v>
      </c>
      <c r="K14" s="244">
        <v>14</v>
      </c>
      <c r="L14" s="244">
        <v>15</v>
      </c>
      <c r="M14" s="244">
        <v>14</v>
      </c>
      <c r="N14" s="244">
        <v>15</v>
      </c>
      <c r="O14" s="246">
        <v>58</v>
      </c>
      <c r="P14" s="50">
        <f>AVERAGE(K14:N14)</f>
        <v>14.5</v>
      </c>
      <c r="Q14" s="50">
        <f t="shared" si="3"/>
        <v>25.5</v>
      </c>
      <c r="R14" s="50">
        <f t="shared" si="3"/>
        <v>25.375</v>
      </c>
      <c r="S14" s="50">
        <f t="shared" si="3"/>
        <v>28.25</v>
      </c>
      <c r="T14" s="55">
        <f>SUM(P14:S14)</f>
        <v>93.625</v>
      </c>
      <c r="U14" s="50">
        <f>AVERAGE(P14:S14)</f>
        <v>23.40625</v>
      </c>
      <c r="V14" s="50">
        <f t="shared" si="4"/>
        <v>43.1875</v>
      </c>
      <c r="W14" s="50">
        <f t="shared" si="4"/>
        <v>42.6640625</v>
      </c>
      <c r="X14" s="50">
        <f t="shared" si="4"/>
        <v>47.1171875</v>
      </c>
      <c r="Y14" s="55">
        <f>SUM(U14:X14)</f>
        <v>156.375</v>
      </c>
    </row>
    <row r="15" spans="2:35" x14ac:dyDescent="0.2">
      <c r="B15" s="197" t="s">
        <v>230</v>
      </c>
      <c r="C15" s="198">
        <v>62</v>
      </c>
      <c r="D15" s="198">
        <v>68</v>
      </c>
      <c r="E15" s="202">
        <v>365</v>
      </c>
      <c r="F15" s="198">
        <v>74</v>
      </c>
      <c r="G15" s="198">
        <v>70</v>
      </c>
      <c r="H15" s="198">
        <v>72</v>
      </c>
      <c r="I15" s="198">
        <v>69</v>
      </c>
      <c r="J15" s="202">
        <v>285</v>
      </c>
      <c r="K15" s="198">
        <v>72</v>
      </c>
      <c r="L15" s="198">
        <v>69</v>
      </c>
      <c r="M15" s="198">
        <v>67</v>
      </c>
      <c r="N15" s="198">
        <v>71</v>
      </c>
      <c r="O15" s="204">
        <v>279</v>
      </c>
      <c r="P15" s="50">
        <f>-P12+P13+P14</f>
        <v>85.087076346099295</v>
      </c>
      <c r="Q15" s="50">
        <f t="shared" ref="Q15:S15" si="5">-Q12+Q13+Q14</f>
        <v>78.572184819290783</v>
      </c>
      <c r="R15" s="50">
        <f t="shared" si="5"/>
        <v>98.945415714042568</v>
      </c>
      <c r="S15" s="50">
        <f t="shared" si="5"/>
        <v>100.57070177021278</v>
      </c>
      <c r="T15" s="55">
        <f>-T12+T13+T14</f>
        <v>363.17537864964544</v>
      </c>
      <c r="U15" s="50">
        <f>-U12+U13+U14</f>
        <v>106.95031236832153</v>
      </c>
      <c r="V15" s="50">
        <f t="shared" ref="V15:X15" si="6">-V12+V13+V14</f>
        <v>105.54954306432151</v>
      </c>
      <c r="W15" s="50">
        <f t="shared" si="6"/>
        <v>130.97655979104968</v>
      </c>
      <c r="X15" s="50">
        <f t="shared" si="6"/>
        <v>134.90552144021277</v>
      </c>
      <c r="Y15" s="55">
        <f>-Y12+Y13+Y14</f>
        <v>478.38193666390544</v>
      </c>
    </row>
    <row r="16" spans="2:35" x14ac:dyDescent="0.2">
      <c r="B16" s="197" t="s">
        <v>231</v>
      </c>
      <c r="C16" s="198">
        <v>46</v>
      </c>
      <c r="D16" s="198">
        <v>37</v>
      </c>
      <c r="E16" s="202">
        <v>141</v>
      </c>
      <c r="F16" s="198">
        <v>35</v>
      </c>
      <c r="G16" s="198">
        <v>28</v>
      </c>
      <c r="H16" s="198">
        <v>30</v>
      </c>
      <c r="I16" s="198">
        <v>30</v>
      </c>
      <c r="J16" s="202">
        <v>123</v>
      </c>
      <c r="K16" s="198">
        <v>26</v>
      </c>
      <c r="L16" s="198">
        <v>18</v>
      </c>
      <c r="M16" s="198">
        <v>27</v>
      </c>
      <c r="N16" s="198">
        <v>26</v>
      </c>
      <c r="O16" s="204">
        <v>97</v>
      </c>
      <c r="P16" s="50">
        <f>AVERAGE(K16:N16)</f>
        <v>24.25</v>
      </c>
      <c r="Q16" s="50">
        <f t="shared" ref="Q16:S16" si="7">AVERAGE(L16:O16)</f>
        <v>42</v>
      </c>
      <c r="R16" s="50">
        <f t="shared" si="7"/>
        <v>43.5625</v>
      </c>
      <c r="S16" s="50">
        <f t="shared" si="7"/>
        <v>47.3125</v>
      </c>
      <c r="T16" s="55">
        <f t="shared" ref="T16:T22" si="8">SUM(P16:S16)</f>
        <v>157.125</v>
      </c>
      <c r="U16" s="50">
        <f>AVERAGE(P16:S16)</f>
        <v>39.28125</v>
      </c>
      <c r="V16" s="50">
        <f t="shared" ref="V16:X16" si="9">AVERAGE(Q16:T16)</f>
        <v>72.5</v>
      </c>
      <c r="W16" s="50">
        <f t="shared" si="9"/>
        <v>71.8203125</v>
      </c>
      <c r="X16" s="50">
        <f t="shared" si="9"/>
        <v>79.0546875</v>
      </c>
      <c r="Y16" s="55">
        <f t="shared" ref="Y16:Y22" si="10">SUM(U16:X16)</f>
        <v>262.65625</v>
      </c>
    </row>
    <row r="17" spans="2:25" hidden="1" outlineLevel="1" x14ac:dyDescent="0.2">
      <c r="B17" s="199" t="s">
        <v>232</v>
      </c>
      <c r="C17" s="198">
        <v>88</v>
      </c>
      <c r="D17" s="198">
        <v>-89</v>
      </c>
      <c r="E17" s="202">
        <v>25</v>
      </c>
      <c r="F17" s="198">
        <v>128</v>
      </c>
      <c r="G17" s="198">
        <v>-92</v>
      </c>
      <c r="H17" s="198">
        <v>-95</v>
      </c>
      <c r="I17" s="198">
        <v>-10</v>
      </c>
      <c r="J17" s="202">
        <v>-69</v>
      </c>
      <c r="K17" s="198">
        <v>196</v>
      </c>
      <c r="L17" s="198">
        <v>-93</v>
      </c>
      <c r="M17" s="198">
        <v>-35</v>
      </c>
      <c r="N17" s="198">
        <v>53</v>
      </c>
      <c r="O17" s="204">
        <v>121</v>
      </c>
      <c r="P17" s="50">
        <v>0</v>
      </c>
      <c r="Q17" s="50">
        <v>0</v>
      </c>
      <c r="R17" s="50">
        <v>0</v>
      </c>
      <c r="S17" s="50">
        <v>0</v>
      </c>
      <c r="T17" s="55">
        <f t="shared" si="8"/>
        <v>0</v>
      </c>
      <c r="U17" s="50">
        <v>0</v>
      </c>
      <c r="V17" s="50">
        <v>0</v>
      </c>
      <c r="W17" s="50">
        <v>0</v>
      </c>
      <c r="X17" s="50">
        <v>0</v>
      </c>
      <c r="Y17" s="55">
        <f t="shared" si="10"/>
        <v>0</v>
      </c>
    </row>
    <row r="18" spans="2:25" hidden="1" outlineLevel="1" x14ac:dyDescent="0.2">
      <c r="B18" s="199" t="s">
        <v>233</v>
      </c>
      <c r="C18" s="198">
        <v>0</v>
      </c>
      <c r="D18" s="198">
        <v>3</v>
      </c>
      <c r="E18" s="202">
        <v>384</v>
      </c>
      <c r="F18" s="198">
        <v>0</v>
      </c>
      <c r="G18" s="198">
        <v>0</v>
      </c>
      <c r="H18" s="198">
        <v>0</v>
      </c>
      <c r="I18" s="198">
        <v>1</v>
      </c>
      <c r="J18" s="202">
        <v>1</v>
      </c>
      <c r="K18" s="198">
        <v>0</v>
      </c>
      <c r="L18" s="198">
        <v>0</v>
      </c>
      <c r="M18" s="198">
        <v>0</v>
      </c>
      <c r="N18" s="198">
        <v>0</v>
      </c>
      <c r="O18" s="204">
        <v>0</v>
      </c>
      <c r="P18" s="50">
        <v>0</v>
      </c>
      <c r="Q18" s="50">
        <v>0</v>
      </c>
      <c r="R18" s="50">
        <v>0</v>
      </c>
      <c r="S18" s="50">
        <v>0</v>
      </c>
      <c r="T18" s="55">
        <f t="shared" si="8"/>
        <v>0</v>
      </c>
      <c r="U18" s="50">
        <v>0</v>
      </c>
      <c r="V18" s="50">
        <v>0</v>
      </c>
      <c r="W18" s="50">
        <v>0</v>
      </c>
      <c r="X18" s="50">
        <v>0</v>
      </c>
      <c r="Y18" s="55">
        <f t="shared" si="10"/>
        <v>0</v>
      </c>
    </row>
    <row r="19" spans="2:25" hidden="1" outlineLevel="1" x14ac:dyDescent="0.2">
      <c r="B19" s="199" t="s">
        <v>234</v>
      </c>
      <c r="C19" s="198">
        <v>34</v>
      </c>
      <c r="D19" s="198">
        <v>-79</v>
      </c>
      <c r="E19" s="202">
        <v>-121</v>
      </c>
      <c r="F19" s="198">
        <v>-64</v>
      </c>
      <c r="G19" s="198">
        <v>-16</v>
      </c>
      <c r="H19" s="198">
        <v>-55</v>
      </c>
      <c r="I19" s="198">
        <v>5</v>
      </c>
      <c r="J19" s="202">
        <v>-130</v>
      </c>
      <c r="K19" s="198">
        <v>23</v>
      </c>
      <c r="L19" s="198">
        <v>-67</v>
      </c>
      <c r="M19" s="198">
        <v>-68</v>
      </c>
      <c r="N19" s="198">
        <v>-20</v>
      </c>
      <c r="O19" s="204">
        <v>-132</v>
      </c>
      <c r="P19" s="50">
        <v>0</v>
      </c>
      <c r="Q19" s="50">
        <v>0</v>
      </c>
      <c r="R19" s="50">
        <v>0</v>
      </c>
      <c r="S19" s="50">
        <v>0</v>
      </c>
      <c r="T19" s="55">
        <f t="shared" si="8"/>
        <v>0</v>
      </c>
      <c r="U19" s="50">
        <v>0</v>
      </c>
      <c r="V19" s="50">
        <v>0</v>
      </c>
      <c r="W19" s="50">
        <v>0</v>
      </c>
      <c r="X19" s="50">
        <v>0</v>
      </c>
      <c r="Y19" s="55">
        <f t="shared" si="10"/>
        <v>0</v>
      </c>
    </row>
    <row r="20" spans="2:25" hidden="1" outlineLevel="1" x14ac:dyDescent="0.2">
      <c r="B20" s="199" t="s">
        <v>235</v>
      </c>
      <c r="C20" s="198">
        <v>-20</v>
      </c>
      <c r="D20" s="198">
        <v>59</v>
      </c>
      <c r="E20" s="202">
        <v>250</v>
      </c>
      <c r="F20" s="198">
        <v>57</v>
      </c>
      <c r="G20" s="198">
        <v>37</v>
      </c>
      <c r="H20" s="198">
        <v>-55</v>
      </c>
      <c r="I20" s="198">
        <v>-85</v>
      </c>
      <c r="J20" s="202">
        <v>-46</v>
      </c>
      <c r="K20" s="198">
        <v>-70</v>
      </c>
      <c r="L20" s="198">
        <v>4</v>
      </c>
      <c r="M20" s="198">
        <v>110</v>
      </c>
      <c r="N20" s="198">
        <v>76</v>
      </c>
      <c r="O20" s="204">
        <v>120</v>
      </c>
      <c r="P20" s="50">
        <f>AVERAGE(K20:N20)</f>
        <v>30</v>
      </c>
      <c r="Q20" s="50">
        <f t="shared" ref="Q20:S20" si="11">AVERAGE(L20:O20)</f>
        <v>77.5</v>
      </c>
      <c r="R20" s="50">
        <f t="shared" si="11"/>
        <v>84</v>
      </c>
      <c r="S20" s="50">
        <f t="shared" si="11"/>
        <v>75.875</v>
      </c>
      <c r="T20" s="55">
        <f t="shared" si="8"/>
        <v>267.375</v>
      </c>
      <c r="U20" s="50">
        <f>AVERAGE(P20:S20)</f>
        <v>66.84375</v>
      </c>
      <c r="V20" s="50">
        <f t="shared" ref="V20:X20" si="12">AVERAGE(Q20:T20)</f>
        <v>126.1875</v>
      </c>
      <c r="W20" s="50">
        <f t="shared" si="12"/>
        <v>123.5234375</v>
      </c>
      <c r="X20" s="50">
        <f t="shared" si="12"/>
        <v>134.0703125</v>
      </c>
      <c r="Y20" s="55">
        <f t="shared" si="10"/>
        <v>450.625</v>
      </c>
    </row>
    <row r="21" spans="2:25" hidden="1" outlineLevel="1" x14ac:dyDescent="0.2">
      <c r="B21" s="199" t="s">
        <v>236</v>
      </c>
      <c r="C21" s="198">
        <v>0</v>
      </c>
      <c r="D21" s="198">
        <v>0</v>
      </c>
      <c r="E21" s="202">
        <v>-933</v>
      </c>
      <c r="F21" s="198">
        <v>0</v>
      </c>
      <c r="G21" s="198">
        <v>0</v>
      </c>
      <c r="H21" s="198">
        <v>0</v>
      </c>
      <c r="I21" s="198">
        <v>0</v>
      </c>
      <c r="J21" s="202">
        <v>0</v>
      </c>
      <c r="K21" s="198">
        <v>0</v>
      </c>
      <c r="L21" s="198">
        <v>0</v>
      </c>
      <c r="M21" s="198">
        <v>0</v>
      </c>
      <c r="N21" s="198">
        <v>0</v>
      </c>
      <c r="O21" s="204">
        <v>0</v>
      </c>
      <c r="P21" s="50">
        <v>0</v>
      </c>
      <c r="Q21" s="50">
        <v>0</v>
      </c>
      <c r="R21" s="50">
        <v>0</v>
      </c>
      <c r="S21" s="50">
        <v>0</v>
      </c>
      <c r="T21" s="55">
        <f t="shared" si="8"/>
        <v>0</v>
      </c>
      <c r="U21" s="50">
        <v>0</v>
      </c>
      <c r="V21" s="50">
        <v>0</v>
      </c>
      <c r="W21" s="50">
        <v>0</v>
      </c>
      <c r="X21" s="50">
        <v>0</v>
      </c>
      <c r="Y21" s="55">
        <f t="shared" si="10"/>
        <v>0</v>
      </c>
    </row>
    <row r="22" spans="2:25" hidden="1" outlineLevel="1" x14ac:dyDescent="0.2">
      <c r="B22" s="199" t="s">
        <v>237</v>
      </c>
      <c r="C22" s="198">
        <v>6</v>
      </c>
      <c r="D22" s="198">
        <v>-23</v>
      </c>
      <c r="E22" s="202">
        <v>-43</v>
      </c>
      <c r="F22" s="198">
        <v>-42</v>
      </c>
      <c r="G22" s="198">
        <v>-16</v>
      </c>
      <c r="H22" s="198">
        <v>0</v>
      </c>
      <c r="I22" s="198">
        <v>32</v>
      </c>
      <c r="J22" s="202">
        <v>-26</v>
      </c>
      <c r="K22" s="198">
        <v>37</v>
      </c>
      <c r="L22" s="198">
        <v>-3</v>
      </c>
      <c r="M22" s="198">
        <v>46</v>
      </c>
      <c r="N22" s="198">
        <v>-29</v>
      </c>
      <c r="O22" s="204">
        <v>51</v>
      </c>
      <c r="P22" s="50">
        <v>0</v>
      </c>
      <c r="Q22" s="50">
        <v>0</v>
      </c>
      <c r="R22" s="50">
        <v>0</v>
      </c>
      <c r="S22" s="50">
        <v>0</v>
      </c>
      <c r="T22" s="55">
        <f t="shared" si="8"/>
        <v>0</v>
      </c>
      <c r="U22" s="50">
        <v>0</v>
      </c>
      <c r="V22" s="50">
        <v>0</v>
      </c>
      <c r="W22" s="50">
        <v>0</v>
      </c>
      <c r="X22" s="50">
        <v>0</v>
      </c>
      <c r="Y22" s="55">
        <f t="shared" si="10"/>
        <v>0</v>
      </c>
    </row>
    <row r="23" spans="2:25" collapsed="1" x14ac:dyDescent="0.2">
      <c r="B23" s="197" t="s">
        <v>238</v>
      </c>
      <c r="C23" s="196">
        <f>SUM(C17:C22)</f>
        <v>108</v>
      </c>
      <c r="D23" s="196">
        <f t="shared" ref="D23:O23" si="13">SUM(D17:D22)</f>
        <v>-129</v>
      </c>
      <c r="E23" s="186">
        <f t="shared" si="13"/>
        <v>-438</v>
      </c>
      <c r="F23" s="196">
        <f t="shared" si="13"/>
        <v>79</v>
      </c>
      <c r="G23" s="196">
        <f t="shared" si="13"/>
        <v>-87</v>
      </c>
      <c r="H23" s="196">
        <f t="shared" si="13"/>
        <v>-205</v>
      </c>
      <c r="I23" s="196">
        <f t="shared" si="13"/>
        <v>-57</v>
      </c>
      <c r="J23" s="186">
        <f t="shared" si="13"/>
        <v>-270</v>
      </c>
      <c r="K23" s="196">
        <f t="shared" si="13"/>
        <v>186</v>
      </c>
      <c r="L23" s="196">
        <f t="shared" si="13"/>
        <v>-159</v>
      </c>
      <c r="M23" s="196">
        <f t="shared" si="13"/>
        <v>53</v>
      </c>
      <c r="N23" s="196">
        <f t="shared" si="13"/>
        <v>80</v>
      </c>
      <c r="O23" s="247">
        <f t="shared" si="13"/>
        <v>160</v>
      </c>
      <c r="P23" s="50">
        <f>SUM(P17:P22)</f>
        <v>30</v>
      </c>
      <c r="Q23" s="50">
        <f t="shared" ref="Q23:S23" si="14">SUM(Q17:Q22)</f>
        <v>77.5</v>
      </c>
      <c r="R23" s="50">
        <f t="shared" si="14"/>
        <v>84</v>
      </c>
      <c r="S23" s="50">
        <f t="shared" si="14"/>
        <v>75.875</v>
      </c>
      <c r="T23" s="55">
        <f>SUM(T17:T22)</f>
        <v>267.375</v>
      </c>
      <c r="U23" s="50">
        <f>SUM(U17:U22)</f>
        <v>66.84375</v>
      </c>
      <c r="V23" s="50">
        <f t="shared" ref="V23:X23" si="15">SUM(V17:V22)</f>
        <v>126.1875</v>
      </c>
      <c r="W23" s="50">
        <f t="shared" si="15"/>
        <v>123.5234375</v>
      </c>
      <c r="X23" s="50">
        <f t="shared" si="15"/>
        <v>134.0703125</v>
      </c>
      <c r="Y23" s="55">
        <f>SUM(Y17:Y22)</f>
        <v>450.625</v>
      </c>
    </row>
    <row r="24" spans="2:25" x14ac:dyDescent="0.2">
      <c r="B24" s="207" t="s">
        <v>239</v>
      </c>
      <c r="C24" s="208">
        <v>140</v>
      </c>
      <c r="D24" s="208">
        <v>164</v>
      </c>
      <c r="E24" s="209">
        <v>676</v>
      </c>
      <c r="F24" s="208">
        <v>183</v>
      </c>
      <c r="G24" s="208">
        <v>-93</v>
      </c>
      <c r="H24" s="208">
        <v>65</v>
      </c>
      <c r="I24" s="208">
        <v>110</v>
      </c>
      <c r="J24" s="209">
        <v>265</v>
      </c>
      <c r="K24" s="208">
        <v>149</v>
      </c>
      <c r="L24" s="208">
        <v>0</v>
      </c>
      <c r="M24" s="208">
        <v>318</v>
      </c>
      <c r="N24" s="208">
        <v>340</v>
      </c>
      <c r="O24" s="210">
        <v>807</v>
      </c>
      <c r="P24" s="51">
        <f>P7+P8+P11+P15+P16+P23</f>
        <v>471.41882296033413</v>
      </c>
      <c r="Q24" s="51">
        <f t="shared" ref="Q24:S24" si="16">Q7+Q8+Q11+Q15+Q16+Q23</f>
        <v>430.51042148641181</v>
      </c>
      <c r="R24" s="51">
        <f t="shared" si="16"/>
        <v>574.71161510165894</v>
      </c>
      <c r="S24" s="51">
        <f t="shared" si="16"/>
        <v>539.59047795270328</v>
      </c>
      <c r="T24" s="56">
        <f>T7+T8+T11+T15+T16+T23</f>
        <v>2016.2313375011074</v>
      </c>
      <c r="U24" s="51">
        <f>U7+U8+U11+U15+U16+U23</f>
        <v>684.23663552210496</v>
      </c>
      <c r="V24" s="51">
        <f t="shared" ref="V24:X24" si="17">V7+V8+V11+V15+V16+V23</f>
        <v>614.28081725901393</v>
      </c>
      <c r="W24" s="51">
        <f t="shared" si="17"/>
        <v>804.42016529401258</v>
      </c>
      <c r="X24" s="51">
        <f t="shared" si="17"/>
        <v>817.67925422278302</v>
      </c>
      <c r="Y24" s="56">
        <f>Y7+Y8+Y11+Y15+Y16+Y23</f>
        <v>2920.6168722979141</v>
      </c>
    </row>
    <row r="25" spans="2:25" x14ac:dyDescent="0.2">
      <c r="B25" s="140"/>
      <c r="C25" s="200"/>
      <c r="D25" s="200"/>
      <c r="E25" s="203"/>
      <c r="F25" s="200"/>
      <c r="G25" s="200"/>
      <c r="H25" s="200"/>
      <c r="I25" s="200"/>
      <c r="J25" s="203"/>
      <c r="K25" s="200"/>
      <c r="L25" s="200"/>
      <c r="M25" s="200"/>
      <c r="N25" s="200"/>
      <c r="O25" s="206"/>
      <c r="P25" s="50"/>
      <c r="Q25" s="50"/>
      <c r="R25" s="50"/>
      <c r="S25" s="50"/>
      <c r="T25" s="55"/>
      <c r="U25" s="50"/>
      <c r="V25" s="50"/>
      <c r="W25" s="50"/>
      <c r="X25" s="50"/>
      <c r="Y25" s="55"/>
    </row>
    <row r="26" spans="2:25" x14ac:dyDescent="0.2">
      <c r="B26" s="197" t="s">
        <v>240</v>
      </c>
      <c r="C26" s="198">
        <v>-18</v>
      </c>
      <c r="D26" s="198">
        <v>31</v>
      </c>
      <c r="E26" s="202">
        <v>269</v>
      </c>
      <c r="F26" s="198">
        <v>11</v>
      </c>
      <c r="G26" s="198">
        <v>-25</v>
      </c>
      <c r="H26" s="198">
        <v>55</v>
      </c>
      <c r="I26" s="198">
        <v>-27</v>
      </c>
      <c r="J26" s="202">
        <v>14</v>
      </c>
      <c r="K26" s="198">
        <v>23</v>
      </c>
      <c r="L26" s="198">
        <v>-126</v>
      </c>
      <c r="M26" s="198">
        <v>46</v>
      </c>
      <c r="N26" s="198">
        <v>13</v>
      </c>
      <c r="O26" s="204">
        <v>-44</v>
      </c>
      <c r="P26" s="50">
        <f>-('Balance Sheet'!P10-'Balance Sheet'!O10)</f>
        <v>-50.207349254638672</v>
      </c>
      <c r="Q26" s="50">
        <f>-('Balance Sheet'!Q10-'Balance Sheet'!P10)</f>
        <v>67.855082782256005</v>
      </c>
      <c r="R26" s="50">
        <f>-('Balance Sheet'!R10-'Balance Sheet'!Q10)</f>
        <v>-74.5749602443328</v>
      </c>
      <c r="S26" s="50">
        <f>-('Balance Sheet'!S10-'Balance Sheet'!R10)</f>
        <v>7.0050931196545889</v>
      </c>
      <c r="T26" s="55">
        <f t="shared" ref="T26:T32" si="18">SUM(P26:S26)</f>
        <v>-49.922133597060878</v>
      </c>
      <c r="U26" s="50">
        <f>-('Balance Sheet'!U10-'Balance Sheet'!S10)</f>
        <v>-43.352960984225007</v>
      </c>
      <c r="V26" s="50">
        <f>-('Balance Sheet'!V10-'Balance Sheet'!T10)</f>
        <v>43.808307229662915</v>
      </c>
      <c r="W26" s="50">
        <f>-('Balance Sheet'!W10-'Balance Sheet'!U10)</f>
        <v>-6.8609105551034304</v>
      </c>
      <c r="X26" s="50">
        <f>-('Balance Sheet'!X10-'Balance Sheet'!V10)</f>
        <v>-89.555972803545728</v>
      </c>
      <c r="Y26" s="55">
        <f t="shared" ref="Y26:Y32" si="19">SUM(U26:X26)</f>
        <v>-95.96153711321125</v>
      </c>
    </row>
    <row r="27" spans="2:25" x14ac:dyDescent="0.2">
      <c r="B27" s="197" t="s">
        <v>241</v>
      </c>
      <c r="C27" s="198">
        <v>20</v>
      </c>
      <c r="D27" s="198">
        <v>-77</v>
      </c>
      <c r="E27" s="202">
        <v>-58</v>
      </c>
      <c r="F27" s="198">
        <v>89</v>
      </c>
      <c r="G27" s="198">
        <v>1</v>
      </c>
      <c r="H27" s="198">
        <v>-17</v>
      </c>
      <c r="I27" s="198">
        <v>-6</v>
      </c>
      <c r="J27" s="202">
        <v>67</v>
      </c>
      <c r="K27" s="198">
        <v>83</v>
      </c>
      <c r="L27" s="198">
        <v>-5</v>
      </c>
      <c r="M27" s="198">
        <v>-43</v>
      </c>
      <c r="N27" s="198">
        <v>-6</v>
      </c>
      <c r="O27" s="204">
        <v>29</v>
      </c>
      <c r="P27" s="50">
        <f>-('Balance Sheet'!P11-'Balance Sheet'!O11)</f>
        <v>-549.0724827983463</v>
      </c>
      <c r="Q27" s="50">
        <f>-('Balance Sheet'!Q11-'Balance Sheet'!P11)</f>
        <v>227.94230942783474</v>
      </c>
      <c r="R27" s="50">
        <f>-('Balance Sheet'!R11-'Balance Sheet'!Q11)</f>
        <v>-250.51606993289715</v>
      </c>
      <c r="S27" s="50">
        <f>-('Balance Sheet'!S11-'Balance Sheet'!R11)</f>
        <v>23.531871718070533</v>
      </c>
      <c r="T27" s="55">
        <f t="shared" si="18"/>
        <v>-548.11437158533818</v>
      </c>
      <c r="U27" s="50">
        <f>-('Balance Sheet'!U11-'Balance Sheet'!S11)</f>
        <v>-145.6335125106234</v>
      </c>
      <c r="V27" s="50">
        <f>-('Balance Sheet'!V11-'Balance Sheet'!T11)</f>
        <v>147.16313520826952</v>
      </c>
      <c r="W27" s="50">
        <f>-('Balance Sheet'!W11-'Balance Sheet'!U11)</f>
        <v>-23.047526177611985</v>
      </c>
      <c r="X27" s="50">
        <f>-('Balance Sheet'!X11-'Balance Sheet'!V11)</f>
        <v>-300.8410634381346</v>
      </c>
      <c r="Y27" s="55">
        <f t="shared" si="19"/>
        <v>-322.35896691810046</v>
      </c>
    </row>
    <row r="28" spans="2:25" x14ac:dyDescent="0.2">
      <c r="B28" s="197" t="s">
        <v>242</v>
      </c>
      <c r="C28" s="198">
        <v>0</v>
      </c>
      <c r="D28" s="198">
        <v>35</v>
      </c>
      <c r="E28" s="202">
        <v>-123</v>
      </c>
      <c r="F28" s="198">
        <v>-154</v>
      </c>
      <c r="G28" s="198">
        <v>40</v>
      </c>
      <c r="H28" s="198">
        <v>-1</v>
      </c>
      <c r="I28" s="198">
        <v>46</v>
      </c>
      <c r="J28" s="202">
        <v>-69</v>
      </c>
      <c r="K28" s="198">
        <v>-60</v>
      </c>
      <c r="L28" s="198">
        <v>3</v>
      </c>
      <c r="M28" s="198">
        <v>-34</v>
      </c>
      <c r="N28" s="198">
        <v>43</v>
      </c>
      <c r="O28" s="204">
        <v>-48</v>
      </c>
      <c r="P28" s="50">
        <f>'Balance Sheet'!P32-'Balance Sheet'!O32</f>
        <v>53.148628446218083</v>
      </c>
      <c r="Q28" s="50">
        <f>'Balance Sheet'!Q32-'Balance Sheet'!P32</f>
        <v>-92.091819815440601</v>
      </c>
      <c r="R28" s="50">
        <f>'Balance Sheet'!R32-'Balance Sheet'!Q32</f>
        <v>101.21192871583446</v>
      </c>
      <c r="S28" s="50">
        <f>'Balance Sheet'!S32-'Balance Sheet'!R32</f>
        <v>-9.5071989733731357</v>
      </c>
      <c r="T28" s="55">
        <f t="shared" si="18"/>
        <v>52.761538373238807</v>
      </c>
      <c r="U28" s="50">
        <f>'Balance Sheet'!U32-'Balance Sheet'!S32</f>
        <v>58.837936787089177</v>
      </c>
      <c r="V28" s="50">
        <f>'Balance Sheet'!V32-'Balance Sheet'!T32</f>
        <v>-59.455925339590976</v>
      </c>
      <c r="W28" s="50">
        <f>'Balance Sheet'!W32-'Balance Sheet'!U32</f>
        <v>9.3115167310010065</v>
      </c>
      <c r="X28" s="50">
        <f>'Balance Sheet'!X32-'Balance Sheet'!V32</f>
        <v>121.54391642680753</v>
      </c>
      <c r="Y28" s="55">
        <f t="shared" si="19"/>
        <v>130.23744460530673</v>
      </c>
    </row>
    <row r="29" spans="2:25" hidden="1" outlineLevel="1" x14ac:dyDescent="0.2">
      <c r="B29" s="199" t="s">
        <v>243</v>
      </c>
      <c r="C29" s="198">
        <v>25</v>
      </c>
      <c r="D29" s="198">
        <v>105</v>
      </c>
      <c r="E29" s="202">
        <v>250</v>
      </c>
      <c r="F29" s="198">
        <v>-1</v>
      </c>
      <c r="G29" s="198">
        <v>35</v>
      </c>
      <c r="H29" s="198">
        <v>-6</v>
      </c>
      <c r="I29" s="198">
        <v>-89</v>
      </c>
      <c r="J29" s="202">
        <v>-61</v>
      </c>
      <c r="K29" s="198">
        <v>22</v>
      </c>
      <c r="L29" s="198">
        <v>-7</v>
      </c>
      <c r="M29" s="198">
        <v>187</v>
      </c>
      <c r="N29" s="198">
        <v>-20</v>
      </c>
      <c r="O29" s="204">
        <v>182</v>
      </c>
      <c r="P29" s="50">
        <f>-('Balance Sheet'!P13-'Balance Sheet'!O13)</f>
        <v>-129.13645808918386</v>
      </c>
      <c r="Q29" s="50">
        <f>-('Balance Sheet'!Q13-'Balance Sheet'!P13)</f>
        <v>54.055476575134435</v>
      </c>
      <c r="R29" s="50">
        <f>-('Balance Sheet'!R13-'Balance Sheet'!Q13)</f>
        <v>-59.408740676288147</v>
      </c>
      <c r="S29" s="50">
        <f>-('Balance Sheet'!S13-'Balance Sheet'!R13)</f>
        <v>5.5804757950297983</v>
      </c>
      <c r="T29" s="55">
        <f t="shared" si="18"/>
        <v>-128.90924639530778</v>
      </c>
      <c r="U29" s="50">
        <f>-('Balance Sheet'!U13-'Balance Sheet'!S13)</f>
        <v>-14.760389444692237</v>
      </c>
      <c r="V29" s="50">
        <f>-('Balance Sheet'!V13-'Balance Sheet'!T13)</f>
        <v>48.716325204907776</v>
      </c>
      <c r="W29" s="50">
        <f>-('Balance Sheet'!W13-'Balance Sheet'!U13)</f>
        <v>-4.996577843200015</v>
      </c>
      <c r="X29" s="50">
        <f>-('Balance Sheet'!X13-'Balance Sheet'!V13)</f>
        <v>-65.220700057599998</v>
      </c>
      <c r="Y29" s="55">
        <f t="shared" si="19"/>
        <v>-36.261342140584475</v>
      </c>
    </row>
    <row r="30" spans="2:25" hidden="1" outlineLevel="1" x14ac:dyDescent="0.2">
      <c r="B30" s="199" t="s">
        <v>244</v>
      </c>
      <c r="C30" s="198">
        <v>0</v>
      </c>
      <c r="D30" s="198">
        <v>0</v>
      </c>
      <c r="E30" s="202">
        <v>0</v>
      </c>
      <c r="F30" s="198">
        <v>0</v>
      </c>
      <c r="G30" s="198">
        <v>0</v>
      </c>
      <c r="H30" s="198">
        <v>0</v>
      </c>
      <c r="I30" s="198">
        <v>0</v>
      </c>
      <c r="J30" s="202">
        <v>0</v>
      </c>
      <c r="K30" s="198">
        <v>-67</v>
      </c>
      <c r="L30" s="198">
        <v>9</v>
      </c>
      <c r="M30" s="198">
        <v>51</v>
      </c>
      <c r="N30" s="198">
        <v>-26</v>
      </c>
      <c r="O30" s="204">
        <v>-33</v>
      </c>
      <c r="P30" s="50">
        <v>0</v>
      </c>
      <c r="Q30" s="50">
        <v>0</v>
      </c>
      <c r="R30" s="50">
        <v>0</v>
      </c>
      <c r="S30" s="50">
        <v>0</v>
      </c>
      <c r="T30" s="55">
        <f t="shared" si="18"/>
        <v>0</v>
      </c>
      <c r="U30" s="50">
        <v>0</v>
      </c>
      <c r="V30" s="50">
        <v>0</v>
      </c>
      <c r="W30" s="50">
        <v>0</v>
      </c>
      <c r="X30" s="50">
        <v>0</v>
      </c>
      <c r="Y30" s="55">
        <f t="shared" si="19"/>
        <v>0</v>
      </c>
    </row>
    <row r="31" spans="2:25" hidden="1" outlineLevel="1" x14ac:dyDescent="0.2">
      <c r="B31" s="199" t="s">
        <v>245</v>
      </c>
      <c r="C31" s="198">
        <v>40</v>
      </c>
      <c r="D31" s="198">
        <v>-37</v>
      </c>
      <c r="E31" s="202">
        <v>-96</v>
      </c>
      <c r="F31" s="198">
        <v>29</v>
      </c>
      <c r="G31" s="198">
        <v>-30</v>
      </c>
      <c r="H31" s="198">
        <v>23</v>
      </c>
      <c r="I31" s="198">
        <v>-37</v>
      </c>
      <c r="J31" s="202">
        <v>-15</v>
      </c>
      <c r="K31" s="198">
        <v>36</v>
      </c>
      <c r="L31" s="198">
        <v>-24</v>
      </c>
      <c r="M31" s="198">
        <v>24</v>
      </c>
      <c r="N31" s="198">
        <v>6</v>
      </c>
      <c r="O31" s="204">
        <v>42</v>
      </c>
      <c r="P31" s="50">
        <v>0</v>
      </c>
      <c r="Q31" s="50">
        <v>0</v>
      </c>
      <c r="R31" s="50">
        <v>0</v>
      </c>
      <c r="S31" s="50">
        <v>0</v>
      </c>
      <c r="T31" s="55">
        <f t="shared" si="18"/>
        <v>0</v>
      </c>
      <c r="U31" s="50">
        <v>0</v>
      </c>
      <c r="V31" s="50">
        <v>0</v>
      </c>
      <c r="W31" s="50">
        <v>0</v>
      </c>
      <c r="X31" s="50">
        <v>0</v>
      </c>
      <c r="Y31" s="55">
        <f t="shared" si="19"/>
        <v>0</v>
      </c>
    </row>
    <row r="32" spans="2:25" hidden="1" outlineLevel="1" x14ac:dyDescent="0.2">
      <c r="B32" s="199" t="s">
        <v>246</v>
      </c>
      <c r="C32" s="198">
        <v>-26</v>
      </c>
      <c r="D32" s="198">
        <v>1</v>
      </c>
      <c r="E32" s="202">
        <v>-54</v>
      </c>
      <c r="F32" s="198">
        <v>16</v>
      </c>
      <c r="G32" s="198">
        <v>49</v>
      </c>
      <c r="H32" s="198">
        <v>-23</v>
      </c>
      <c r="I32" s="198">
        <v>13</v>
      </c>
      <c r="J32" s="202">
        <v>55</v>
      </c>
      <c r="K32" s="198">
        <v>-67</v>
      </c>
      <c r="L32" s="198">
        <v>-34</v>
      </c>
      <c r="M32" s="198">
        <v>-60</v>
      </c>
      <c r="N32" s="198">
        <v>-70</v>
      </c>
      <c r="O32" s="204">
        <v>-231</v>
      </c>
      <c r="P32" s="50">
        <f>'Balance Sheet'!P35-'Balance Sheet'!O35</f>
        <v>128.96991010039682</v>
      </c>
      <c r="Q32" s="50">
        <f>'Balance Sheet'!Q35-'Balance Sheet'!P35</f>
        <v>-57.041190792292809</v>
      </c>
      <c r="R32" s="50">
        <f>'Balance Sheet'!R35-'Balance Sheet'!Q35</f>
        <v>62.690138471646094</v>
      </c>
      <c r="S32" s="50">
        <f>'Balance Sheet'!S35-'Balance Sheet'!R35</f>
        <v>-5.8887092428761036</v>
      </c>
      <c r="T32" s="55">
        <f t="shared" si="18"/>
        <v>128.730148536874</v>
      </c>
      <c r="U32" s="50">
        <f>'Balance Sheet'!U35-'Balance Sheet'!S35</f>
        <v>36.443909837195946</v>
      </c>
      <c r="V32" s="50">
        <f>'Balance Sheet'!V35-'Balance Sheet'!T35</f>
        <v>-36.8266887094276</v>
      </c>
      <c r="W32" s="50">
        <f>'Balance Sheet'!W35-'Balance Sheet'!U35</f>
        <v>5.7675046869863422</v>
      </c>
      <c r="X32" s="50">
        <f>'Balance Sheet'!X35-'Balance Sheet'!V35</f>
        <v>75.283665155475546</v>
      </c>
      <c r="Y32" s="55">
        <f t="shared" si="19"/>
        <v>80.668390970230234</v>
      </c>
    </row>
    <row r="33" spans="2:25" collapsed="1" x14ac:dyDescent="0.2">
      <c r="B33" s="197" t="s">
        <v>247</v>
      </c>
      <c r="C33" s="196">
        <f>SUM(C29:C32)</f>
        <v>39</v>
      </c>
      <c r="D33" s="196">
        <f t="shared" ref="D33:O33" si="20">SUM(D29:D32)</f>
        <v>69</v>
      </c>
      <c r="E33" s="186">
        <f t="shared" si="20"/>
        <v>100</v>
      </c>
      <c r="F33" s="196">
        <f t="shared" si="20"/>
        <v>44</v>
      </c>
      <c r="G33" s="196">
        <f t="shared" si="20"/>
        <v>54</v>
      </c>
      <c r="H33" s="196">
        <f t="shared" si="20"/>
        <v>-6</v>
      </c>
      <c r="I33" s="196">
        <f t="shared" si="20"/>
        <v>-113</v>
      </c>
      <c r="J33" s="186">
        <f t="shared" si="20"/>
        <v>-21</v>
      </c>
      <c r="K33" s="196">
        <f t="shared" si="20"/>
        <v>-76</v>
      </c>
      <c r="L33" s="196">
        <f t="shared" si="20"/>
        <v>-56</v>
      </c>
      <c r="M33" s="196">
        <f t="shared" si="20"/>
        <v>202</v>
      </c>
      <c r="N33" s="196">
        <f t="shared" si="20"/>
        <v>-110</v>
      </c>
      <c r="O33" s="205">
        <f t="shared" si="20"/>
        <v>-40</v>
      </c>
      <c r="P33" s="50">
        <f>SUM(P29:P32)</f>
        <v>-0.16654798878704469</v>
      </c>
      <c r="Q33" s="50">
        <f t="shared" ref="Q33:S33" si="21">SUM(Q29:Q32)</f>
        <v>-2.9857142171583746</v>
      </c>
      <c r="R33" s="50">
        <f t="shared" si="21"/>
        <v>3.2813977953579467</v>
      </c>
      <c r="S33" s="50">
        <f t="shared" si="21"/>
        <v>-0.30823344784630535</v>
      </c>
      <c r="T33" s="55">
        <f>SUM(T29:T32)</f>
        <v>-0.1790978584337779</v>
      </c>
      <c r="U33" s="50">
        <f>SUM(U29:U32)</f>
        <v>21.683520392503709</v>
      </c>
      <c r="V33" s="50">
        <f t="shared" ref="V33:X33" si="22">SUM(V29:V32)</f>
        <v>11.889636495480175</v>
      </c>
      <c r="W33" s="50">
        <f t="shared" si="22"/>
        <v>0.77092684378632725</v>
      </c>
      <c r="X33" s="50">
        <f t="shared" si="22"/>
        <v>10.062965097875548</v>
      </c>
      <c r="Y33" s="55">
        <f>SUM(Y29:Y32)</f>
        <v>44.40704882964576</v>
      </c>
    </row>
    <row r="34" spans="2:25" x14ac:dyDescent="0.2">
      <c r="B34" s="207" t="s">
        <v>248</v>
      </c>
      <c r="C34" s="208">
        <v>181</v>
      </c>
      <c r="D34" s="208">
        <v>222</v>
      </c>
      <c r="E34" s="209">
        <v>864</v>
      </c>
      <c r="F34" s="208">
        <v>173</v>
      </c>
      <c r="G34" s="208">
        <v>-23</v>
      </c>
      <c r="H34" s="208">
        <v>96</v>
      </c>
      <c r="I34" s="208">
        <v>10</v>
      </c>
      <c r="J34" s="209">
        <v>256</v>
      </c>
      <c r="K34" s="208">
        <v>119</v>
      </c>
      <c r="L34" s="208">
        <v>-184</v>
      </c>
      <c r="M34" s="208">
        <v>489</v>
      </c>
      <c r="N34" s="208">
        <v>280</v>
      </c>
      <c r="O34" s="210">
        <v>704</v>
      </c>
      <c r="P34" s="51">
        <f>P24+P26+P27+P28+P33</f>
        <v>-74.878928635219836</v>
      </c>
      <c r="Q34" s="51">
        <f t="shared" ref="Q34:S34" si="23">Q24+Q26+Q27+Q28+Q33</f>
        <v>631.2302796639035</v>
      </c>
      <c r="R34" s="51">
        <f t="shared" si="23"/>
        <v>354.11391143562139</v>
      </c>
      <c r="S34" s="51">
        <f t="shared" si="23"/>
        <v>560.31201036920902</v>
      </c>
      <c r="T34" s="56">
        <f>T24+T26+T27+T28+T33</f>
        <v>1470.7772728335135</v>
      </c>
      <c r="U34" s="51">
        <f>U24+U26+U27+U28+U33</f>
        <v>575.77161920684955</v>
      </c>
      <c r="V34" s="51">
        <f t="shared" ref="V34:X34" si="24">V24+V26+V27+V28+V33</f>
        <v>757.68597085283557</v>
      </c>
      <c r="W34" s="51">
        <f t="shared" si="24"/>
        <v>784.59417213608458</v>
      </c>
      <c r="X34" s="51">
        <f t="shared" si="24"/>
        <v>558.88909950578579</v>
      </c>
      <c r="Y34" s="56">
        <f>Y24+Y26+Y27+Y28+Y33</f>
        <v>2676.9408617015547</v>
      </c>
    </row>
    <row r="35" spans="2:25" x14ac:dyDescent="0.2">
      <c r="B35" s="140"/>
      <c r="C35" s="200"/>
      <c r="D35" s="200"/>
      <c r="E35" s="203"/>
      <c r="F35" s="200"/>
      <c r="G35" s="200"/>
      <c r="H35" s="200"/>
      <c r="I35" s="200"/>
      <c r="J35" s="203"/>
      <c r="K35" s="200"/>
      <c r="L35" s="200"/>
      <c r="M35" s="200"/>
      <c r="N35" s="200"/>
      <c r="O35" s="253"/>
      <c r="P35" s="50"/>
      <c r="Q35" s="50"/>
      <c r="R35" s="50"/>
      <c r="S35" s="50"/>
      <c r="T35" s="55"/>
      <c r="U35" s="50"/>
      <c r="V35" s="50"/>
      <c r="W35" s="50"/>
      <c r="X35" s="50"/>
      <c r="Y35" s="55"/>
    </row>
    <row r="36" spans="2:25" outlineLevel="1" x14ac:dyDescent="0.2">
      <c r="B36" s="248" t="s">
        <v>249</v>
      </c>
      <c r="C36" s="249">
        <v>40</v>
      </c>
      <c r="D36" s="249">
        <v>56</v>
      </c>
      <c r="E36" s="250">
        <v>254</v>
      </c>
      <c r="F36" s="249">
        <v>25</v>
      </c>
      <c r="G36" s="249">
        <v>20</v>
      </c>
      <c r="H36" s="249">
        <v>13</v>
      </c>
      <c r="I36" s="249">
        <v>27</v>
      </c>
      <c r="J36" s="250">
        <v>85</v>
      </c>
      <c r="K36" s="249">
        <v>18</v>
      </c>
      <c r="L36" s="249">
        <v>33</v>
      </c>
      <c r="M36" s="249">
        <v>21</v>
      </c>
      <c r="N36" s="249">
        <v>26</v>
      </c>
      <c r="O36" s="254">
        <v>98</v>
      </c>
      <c r="P36" s="50">
        <f>'Balance Sheet'!P64</f>
        <v>31.968063086150035</v>
      </c>
      <c r="Q36" s="50">
        <f>'Balance Sheet'!Q64</f>
        <v>23.157621100295202</v>
      </c>
      <c r="R36" s="50">
        <f>'Balance Sheet'!R64</f>
        <v>32.840585646054173</v>
      </c>
      <c r="S36" s="50">
        <f>'Balance Sheet'!S64</f>
        <v>31.931030104956712</v>
      </c>
      <c r="T36" s="55">
        <f>SUM(P36:S36)</f>
        <v>119.89729993745613</v>
      </c>
      <c r="U36" s="50">
        <f>'Balance Sheet'!U64</f>
        <v>37.560066751956782</v>
      </c>
      <c r="V36" s="50">
        <f>'Balance Sheet'!V64</f>
        <v>26.242870375139383</v>
      </c>
      <c r="W36" s="50">
        <f>'Balance Sheet'!W64</f>
        <v>38.450901335562719</v>
      </c>
      <c r="X36" s="50">
        <f>'Balance Sheet'!X64</f>
        <v>37.871000067418855</v>
      </c>
      <c r="Y36" s="55">
        <f>SUM(U36:X36)</f>
        <v>140.12483853007774</v>
      </c>
    </row>
    <row r="37" spans="2:25" outlineLevel="1" x14ac:dyDescent="0.2">
      <c r="B37" s="248" t="s">
        <v>250</v>
      </c>
      <c r="C37" s="251">
        <v>0.1</v>
      </c>
      <c r="D37" s="251">
        <v>0.1</v>
      </c>
      <c r="E37" s="252">
        <v>9.9999999999999895E-2</v>
      </c>
      <c r="F37" s="251">
        <v>0.1</v>
      </c>
      <c r="G37" s="251">
        <v>0.1</v>
      </c>
      <c r="H37" s="251">
        <v>0.1</v>
      </c>
      <c r="I37" s="251">
        <v>0.1</v>
      </c>
      <c r="J37" s="252">
        <v>0.1</v>
      </c>
      <c r="K37" s="251">
        <v>0.1</v>
      </c>
      <c r="L37" s="251">
        <v>0.1</v>
      </c>
      <c r="M37" s="251">
        <v>0.1</v>
      </c>
      <c r="N37" s="251">
        <v>0.1</v>
      </c>
      <c r="O37" s="255">
        <v>0.1</v>
      </c>
      <c r="P37" s="23">
        <f>AVERAGE(K37:N37)</f>
        <v>0.1</v>
      </c>
      <c r="Q37" s="23">
        <f t="shared" ref="Q37:S37" si="25">AVERAGE(L37:O37)</f>
        <v>0.1</v>
      </c>
      <c r="R37" s="23">
        <f t="shared" si="25"/>
        <v>0.1</v>
      </c>
      <c r="S37" s="23">
        <f t="shared" si="25"/>
        <v>0.1</v>
      </c>
      <c r="T37" s="24">
        <f>AVERAGE(P37:S37)</f>
        <v>0.1</v>
      </c>
      <c r="U37" s="23">
        <f>AVERAGE(P37:S37)</f>
        <v>0.1</v>
      </c>
      <c r="V37" s="23">
        <f t="shared" ref="V37:X37" si="26">AVERAGE(Q37:T37)</f>
        <v>0.1</v>
      </c>
      <c r="W37" s="23">
        <f t="shared" si="26"/>
        <v>0.1</v>
      </c>
      <c r="X37" s="23">
        <f t="shared" si="26"/>
        <v>0.1</v>
      </c>
      <c r="Y37" s="24">
        <f>AVERAGE(U37:X37)</f>
        <v>0.1</v>
      </c>
    </row>
    <row r="38" spans="2:25" x14ac:dyDescent="0.2">
      <c r="B38" s="197" t="s">
        <v>251</v>
      </c>
      <c r="C38" s="198">
        <v>-40</v>
      </c>
      <c r="D38" s="198">
        <v>-56</v>
      </c>
      <c r="E38" s="202">
        <v>-254</v>
      </c>
      <c r="F38" s="198">
        <v>-25</v>
      </c>
      <c r="G38" s="198">
        <v>-20</v>
      </c>
      <c r="H38" s="198">
        <v>-13</v>
      </c>
      <c r="I38" s="198">
        <v>-27</v>
      </c>
      <c r="J38" s="202">
        <v>-85</v>
      </c>
      <c r="K38" s="198">
        <v>-18</v>
      </c>
      <c r="L38" s="198">
        <v>-33</v>
      </c>
      <c r="M38" s="198">
        <v>-21</v>
      </c>
      <c r="N38" s="198">
        <v>-26</v>
      </c>
      <c r="O38" s="204">
        <v>-98</v>
      </c>
      <c r="P38" s="50">
        <f>-P36</f>
        <v>-31.968063086150035</v>
      </c>
      <c r="Q38" s="50">
        <f t="shared" ref="Q38:S38" si="27">-Q36</f>
        <v>-23.157621100295202</v>
      </c>
      <c r="R38" s="50">
        <f t="shared" si="27"/>
        <v>-32.840585646054173</v>
      </c>
      <c r="S38" s="50">
        <f t="shared" si="27"/>
        <v>-31.931030104956712</v>
      </c>
      <c r="T38" s="55">
        <f>SUM(P38:S38)</f>
        <v>-119.89729993745613</v>
      </c>
      <c r="U38" s="50">
        <f>-U36</f>
        <v>-37.560066751956782</v>
      </c>
      <c r="V38" s="50">
        <f t="shared" ref="V38:X38" si="28">-V36</f>
        <v>-26.242870375139383</v>
      </c>
      <c r="W38" s="50">
        <f t="shared" si="28"/>
        <v>-38.450901335562719</v>
      </c>
      <c r="X38" s="50">
        <f t="shared" si="28"/>
        <v>-37.871000067418855</v>
      </c>
      <c r="Y38" s="55">
        <f>SUM(U38:X38)</f>
        <v>-140.12483853007774</v>
      </c>
    </row>
    <row r="39" spans="2:25" x14ac:dyDescent="0.2">
      <c r="B39" s="197" t="s">
        <v>252</v>
      </c>
      <c r="C39" s="198">
        <v>-29</v>
      </c>
      <c r="D39" s="198">
        <v>-2</v>
      </c>
      <c r="E39" s="202">
        <v>-94</v>
      </c>
      <c r="F39" s="198">
        <v>-41</v>
      </c>
      <c r="G39" s="198">
        <v>-3</v>
      </c>
      <c r="H39" s="198">
        <v>-45</v>
      </c>
      <c r="I39" s="198">
        <v>-15</v>
      </c>
      <c r="J39" s="202">
        <v>-104</v>
      </c>
      <c r="K39" s="198">
        <v>-46</v>
      </c>
      <c r="L39" s="198">
        <v>-4</v>
      </c>
      <c r="M39" s="198">
        <v>-44</v>
      </c>
      <c r="N39" s="198">
        <v>-14</v>
      </c>
      <c r="O39" s="204">
        <v>-108</v>
      </c>
      <c r="P39" s="50">
        <f>AVERAGE(K39:N39)</f>
        <v>-27</v>
      </c>
      <c r="Q39" s="50">
        <f t="shared" ref="Q39:S41" si="29">AVERAGE(L39:O39)</f>
        <v>-42.5</v>
      </c>
      <c r="R39" s="50">
        <f t="shared" si="29"/>
        <v>-48.25</v>
      </c>
      <c r="S39" s="50">
        <f t="shared" si="29"/>
        <v>-47.875</v>
      </c>
      <c r="T39" s="55">
        <f>SUM(P39:S39)</f>
        <v>-165.625</v>
      </c>
      <c r="U39" s="50">
        <f>AVERAGE(P39:S39)</f>
        <v>-41.40625</v>
      </c>
      <c r="V39" s="50">
        <f t="shared" ref="V39:X41" si="30">AVERAGE(Q39:T39)</f>
        <v>-76.0625</v>
      </c>
      <c r="W39" s="50">
        <f t="shared" si="30"/>
        <v>-75.7890625</v>
      </c>
      <c r="X39" s="50">
        <f t="shared" si="30"/>
        <v>-82.7421875</v>
      </c>
      <c r="Y39" s="55">
        <f>SUM(U39:X39)</f>
        <v>-276</v>
      </c>
    </row>
    <row r="40" spans="2:25" hidden="1" outlineLevel="1" x14ac:dyDescent="0.2">
      <c r="B40" s="199" t="s">
        <v>253</v>
      </c>
      <c r="C40" s="198">
        <v>495</v>
      </c>
      <c r="D40" s="198">
        <v>497</v>
      </c>
      <c r="E40" s="202">
        <v>2214</v>
      </c>
      <c r="F40" s="198">
        <v>553</v>
      </c>
      <c r="G40" s="198">
        <v>542</v>
      </c>
      <c r="H40" s="198">
        <v>551</v>
      </c>
      <c r="I40" s="198">
        <v>617</v>
      </c>
      <c r="J40" s="202">
        <v>2263</v>
      </c>
      <c r="K40" s="198">
        <v>581</v>
      </c>
      <c r="L40" s="198">
        <v>605</v>
      </c>
      <c r="M40" s="198">
        <v>641</v>
      </c>
      <c r="N40" s="198">
        <v>100</v>
      </c>
      <c r="O40" s="204">
        <v>1927</v>
      </c>
      <c r="P40" s="50">
        <f>AVERAGE(K40:N40)</f>
        <v>481.75</v>
      </c>
      <c r="Q40" s="50">
        <f t="shared" si="29"/>
        <v>818.25</v>
      </c>
      <c r="R40" s="50">
        <f t="shared" si="29"/>
        <v>787.4375</v>
      </c>
      <c r="S40" s="50">
        <f t="shared" si="29"/>
        <v>831.75</v>
      </c>
      <c r="T40" s="55">
        <f>SUM(P40:S40)</f>
        <v>2919.1875</v>
      </c>
      <c r="U40" s="50">
        <f>AVERAGE(P40:S40)</f>
        <v>729.796875</v>
      </c>
      <c r="V40" s="50">
        <f t="shared" si="30"/>
        <v>1339.15625</v>
      </c>
      <c r="W40" s="50">
        <f t="shared" si="30"/>
        <v>1317.04296875</v>
      </c>
      <c r="X40" s="50">
        <f t="shared" si="30"/>
        <v>1454.97265625</v>
      </c>
      <c r="Y40" s="55">
        <f>SUM(U40:X40)</f>
        <v>4840.96875</v>
      </c>
    </row>
    <row r="41" spans="2:25" hidden="1" outlineLevel="1" x14ac:dyDescent="0.2">
      <c r="B41" s="199" t="s">
        <v>254</v>
      </c>
      <c r="C41" s="198">
        <v>-501</v>
      </c>
      <c r="D41" s="198">
        <v>-510</v>
      </c>
      <c r="E41" s="202">
        <v>-2249</v>
      </c>
      <c r="F41" s="198">
        <v>-564</v>
      </c>
      <c r="G41" s="198">
        <v>-546</v>
      </c>
      <c r="H41" s="198">
        <v>-560</v>
      </c>
      <c r="I41" s="198">
        <v>-625</v>
      </c>
      <c r="J41" s="202">
        <v>-2295</v>
      </c>
      <c r="K41" s="198">
        <v>-592</v>
      </c>
      <c r="L41" s="198">
        <v>-609</v>
      </c>
      <c r="M41" s="198">
        <v>-651</v>
      </c>
      <c r="N41" s="198">
        <v>-110</v>
      </c>
      <c r="O41" s="204">
        <v>-1962</v>
      </c>
      <c r="P41" s="50">
        <f>AVERAGE(K41:N41)</f>
        <v>-490.5</v>
      </c>
      <c r="Q41" s="50">
        <f t="shared" si="29"/>
        <v>-833</v>
      </c>
      <c r="R41" s="50">
        <f t="shared" si="29"/>
        <v>-803.375</v>
      </c>
      <c r="S41" s="50">
        <f t="shared" si="29"/>
        <v>-848.875</v>
      </c>
      <c r="T41" s="55">
        <f>SUM(P41:S41)</f>
        <v>-2975.75</v>
      </c>
      <c r="U41" s="50">
        <f>AVERAGE(P41:S41)</f>
        <v>-743.9375</v>
      </c>
      <c r="V41" s="50">
        <f t="shared" si="30"/>
        <v>-1365.25</v>
      </c>
      <c r="W41" s="50">
        <f t="shared" si="30"/>
        <v>-1342.984375</v>
      </c>
      <c r="X41" s="50">
        <f t="shared" si="30"/>
        <v>-1483.453125</v>
      </c>
      <c r="Y41" s="55">
        <f>SUM(U41:X41)</f>
        <v>-4935.625</v>
      </c>
    </row>
    <row r="42" spans="2:25" collapsed="1" x14ac:dyDescent="0.2">
      <c r="B42" s="197" t="s">
        <v>255</v>
      </c>
      <c r="C42" s="198">
        <f>SUM(C40:C41)</f>
        <v>-6</v>
      </c>
      <c r="D42" s="198">
        <f t="shared" ref="D42:O42" si="31">SUM(D40:D41)</f>
        <v>-13</v>
      </c>
      <c r="E42" s="202">
        <f t="shared" si="31"/>
        <v>-35</v>
      </c>
      <c r="F42" s="198">
        <f t="shared" si="31"/>
        <v>-11</v>
      </c>
      <c r="G42" s="198">
        <f t="shared" si="31"/>
        <v>-4</v>
      </c>
      <c r="H42" s="198">
        <f t="shared" si="31"/>
        <v>-9</v>
      </c>
      <c r="I42" s="198">
        <f t="shared" si="31"/>
        <v>-8</v>
      </c>
      <c r="J42" s="202">
        <f t="shared" si="31"/>
        <v>-32</v>
      </c>
      <c r="K42" s="198">
        <f t="shared" si="31"/>
        <v>-11</v>
      </c>
      <c r="L42" s="198">
        <f t="shared" si="31"/>
        <v>-4</v>
      </c>
      <c r="M42" s="198">
        <f t="shared" si="31"/>
        <v>-10</v>
      </c>
      <c r="N42" s="198">
        <f t="shared" si="31"/>
        <v>-10</v>
      </c>
      <c r="O42" s="204">
        <f t="shared" si="31"/>
        <v>-35</v>
      </c>
      <c r="P42" s="50">
        <f>SUM(P40:P41)</f>
        <v>-8.75</v>
      </c>
      <c r="Q42" s="50">
        <f t="shared" ref="Q42:S42" si="32">SUM(Q40:Q41)</f>
        <v>-14.75</v>
      </c>
      <c r="R42" s="50">
        <f t="shared" si="32"/>
        <v>-15.9375</v>
      </c>
      <c r="S42" s="50">
        <f t="shared" si="32"/>
        <v>-17.125</v>
      </c>
      <c r="T42" s="55">
        <f>SUM(T40:T41)</f>
        <v>-56.5625</v>
      </c>
      <c r="U42" s="50">
        <f>SUM(U40:U41)</f>
        <v>-14.140625</v>
      </c>
      <c r="V42" s="50">
        <f t="shared" ref="V42:X42" si="33">SUM(V40:V41)</f>
        <v>-26.09375</v>
      </c>
      <c r="W42" s="50">
        <f t="shared" si="33"/>
        <v>-25.94140625</v>
      </c>
      <c r="X42" s="50">
        <f t="shared" si="33"/>
        <v>-28.48046875</v>
      </c>
      <c r="Y42" s="55">
        <f>SUM(Y40:Y41)</f>
        <v>-94.65625</v>
      </c>
    </row>
    <row r="43" spans="2:25" hidden="1" outlineLevel="1" x14ac:dyDescent="0.2">
      <c r="B43" s="199" t="s">
        <v>256</v>
      </c>
      <c r="C43" s="198">
        <v>0</v>
      </c>
      <c r="D43" s="198">
        <v>0</v>
      </c>
      <c r="E43" s="202">
        <v>0</v>
      </c>
      <c r="F43" s="198">
        <v>0</v>
      </c>
      <c r="G43" s="198">
        <v>0</v>
      </c>
      <c r="H43" s="198">
        <v>0</v>
      </c>
      <c r="I43" s="198">
        <v>0</v>
      </c>
      <c r="J43" s="202">
        <v>0</v>
      </c>
      <c r="K43" s="198">
        <v>0</v>
      </c>
      <c r="L43" s="198">
        <v>0</v>
      </c>
      <c r="M43" s="198">
        <v>40</v>
      </c>
      <c r="N43" s="198">
        <v>0</v>
      </c>
      <c r="O43" s="204">
        <v>40</v>
      </c>
      <c r="P43" s="50">
        <v>0</v>
      </c>
      <c r="Q43" s="50">
        <v>0</v>
      </c>
      <c r="R43" s="50">
        <v>0</v>
      </c>
      <c r="S43" s="50">
        <v>0</v>
      </c>
      <c r="T43" s="55">
        <f>SUM(P43:S43)</f>
        <v>0</v>
      </c>
      <c r="U43" s="50">
        <v>0</v>
      </c>
      <c r="V43" s="50">
        <v>0</v>
      </c>
      <c r="W43" s="50">
        <v>0</v>
      </c>
      <c r="X43" s="50">
        <v>0</v>
      </c>
      <c r="Y43" s="55">
        <f>SUM(U43:X43)</f>
        <v>0</v>
      </c>
    </row>
    <row r="44" spans="2:25" hidden="1" outlineLevel="1" x14ac:dyDescent="0.2">
      <c r="B44" s="199" t="s">
        <v>257</v>
      </c>
      <c r="C44" s="198">
        <v>0</v>
      </c>
      <c r="D44" s="198">
        <v>0</v>
      </c>
      <c r="E44" s="202">
        <v>0</v>
      </c>
      <c r="F44" s="198">
        <v>339</v>
      </c>
      <c r="G44" s="198">
        <v>750</v>
      </c>
      <c r="H44" s="198">
        <v>309</v>
      </c>
      <c r="I44" s="198">
        <v>0</v>
      </c>
      <c r="J44" s="202">
        <v>1398</v>
      </c>
      <c r="K44" s="198">
        <v>0</v>
      </c>
      <c r="L44" s="198">
        <v>0</v>
      </c>
      <c r="M44" s="198">
        <v>0</v>
      </c>
      <c r="N44" s="198">
        <v>0</v>
      </c>
      <c r="O44" s="204">
        <v>0</v>
      </c>
      <c r="P44" s="50">
        <v>0</v>
      </c>
      <c r="Q44" s="50">
        <v>0</v>
      </c>
      <c r="R44" s="50">
        <v>0</v>
      </c>
      <c r="S44" s="50">
        <v>0</v>
      </c>
      <c r="T44" s="55">
        <f>SUM(P44:S44)</f>
        <v>0</v>
      </c>
      <c r="U44" s="50">
        <v>0</v>
      </c>
      <c r="V44" s="50">
        <v>0</v>
      </c>
      <c r="W44" s="50">
        <v>0</v>
      </c>
      <c r="X44" s="50">
        <v>0</v>
      </c>
      <c r="Y44" s="55">
        <f>SUM(U44:X44)</f>
        <v>0</v>
      </c>
    </row>
    <row r="45" spans="2:25" hidden="1" outlineLevel="1" x14ac:dyDescent="0.2">
      <c r="B45" s="199" t="s">
        <v>258</v>
      </c>
      <c r="C45" s="198">
        <v>-3</v>
      </c>
      <c r="D45" s="198">
        <v>-2</v>
      </c>
      <c r="E45" s="202">
        <v>-13</v>
      </c>
      <c r="F45" s="198">
        <v>0</v>
      </c>
      <c r="G45" s="198">
        <v>-5</v>
      </c>
      <c r="H45" s="198">
        <v>-1</v>
      </c>
      <c r="I45" s="198">
        <v>-4</v>
      </c>
      <c r="J45" s="202">
        <v>-10</v>
      </c>
      <c r="K45" s="198">
        <v>0</v>
      </c>
      <c r="L45" s="198">
        <v>0</v>
      </c>
      <c r="M45" s="198">
        <v>0</v>
      </c>
      <c r="N45" s="198">
        <v>-3793</v>
      </c>
      <c r="O45" s="204">
        <v>-3793</v>
      </c>
      <c r="P45" s="50">
        <v>0</v>
      </c>
      <c r="Q45" s="50">
        <v>0</v>
      </c>
      <c r="R45" s="50">
        <v>0</v>
      </c>
      <c r="S45" s="50">
        <v>0</v>
      </c>
      <c r="T45" s="55">
        <f>SUM(P45:S45)</f>
        <v>0</v>
      </c>
      <c r="U45" s="50">
        <v>0</v>
      </c>
      <c r="V45" s="50">
        <v>0</v>
      </c>
      <c r="W45" s="50">
        <v>0</v>
      </c>
      <c r="X45" s="50">
        <v>0</v>
      </c>
      <c r="Y45" s="55">
        <f>SUM(U45:X45)</f>
        <v>0</v>
      </c>
    </row>
    <row r="46" spans="2:25" hidden="1" outlineLevel="1" x14ac:dyDescent="0.2">
      <c r="B46" s="199" t="s">
        <v>259</v>
      </c>
      <c r="C46" s="198">
        <v>0</v>
      </c>
      <c r="D46" s="198">
        <v>8</v>
      </c>
      <c r="E46" s="202">
        <v>54</v>
      </c>
      <c r="F46" s="198">
        <v>1</v>
      </c>
      <c r="G46" s="198">
        <v>0</v>
      </c>
      <c r="H46" s="198">
        <v>0</v>
      </c>
      <c r="I46" s="198">
        <v>1</v>
      </c>
      <c r="J46" s="202">
        <v>2</v>
      </c>
      <c r="K46" s="198">
        <v>0</v>
      </c>
      <c r="L46" s="198">
        <v>0</v>
      </c>
      <c r="M46" s="198">
        <v>0</v>
      </c>
      <c r="N46" s="198">
        <v>0</v>
      </c>
      <c r="O46" s="204">
        <v>0</v>
      </c>
      <c r="P46" s="50">
        <v>0</v>
      </c>
      <c r="Q46" s="50">
        <v>0</v>
      </c>
      <c r="R46" s="50">
        <v>0</v>
      </c>
      <c r="S46" s="50">
        <v>0</v>
      </c>
      <c r="T46" s="55">
        <f>SUM(P46:S46)</f>
        <v>0</v>
      </c>
      <c r="U46" s="50">
        <v>0</v>
      </c>
      <c r="V46" s="50">
        <v>0</v>
      </c>
      <c r="W46" s="50">
        <v>0</v>
      </c>
      <c r="X46" s="50">
        <v>0</v>
      </c>
      <c r="Y46" s="55">
        <f>SUM(U46:X46)</f>
        <v>0</v>
      </c>
    </row>
    <row r="47" spans="2:25" hidden="1" outlineLevel="1" x14ac:dyDescent="0.2">
      <c r="B47" s="199" t="s">
        <v>260</v>
      </c>
      <c r="C47" s="198">
        <v>8</v>
      </c>
      <c r="D47" s="198">
        <v>2</v>
      </c>
      <c r="E47" s="202">
        <v>14</v>
      </c>
      <c r="F47" s="198">
        <v>2</v>
      </c>
      <c r="G47" s="198">
        <v>-4</v>
      </c>
      <c r="H47" s="198">
        <v>5</v>
      </c>
      <c r="I47" s="198">
        <v>-1</v>
      </c>
      <c r="J47" s="202">
        <v>2</v>
      </c>
      <c r="K47" s="198">
        <v>7</v>
      </c>
      <c r="L47" s="198">
        <v>-5</v>
      </c>
      <c r="M47" s="198">
        <v>-7</v>
      </c>
      <c r="N47" s="198">
        <v>-4</v>
      </c>
      <c r="O47" s="204">
        <v>-9</v>
      </c>
      <c r="P47" s="50">
        <v>0</v>
      </c>
      <c r="Q47" s="50">
        <v>0</v>
      </c>
      <c r="R47" s="50">
        <v>0</v>
      </c>
      <c r="S47" s="50">
        <v>0</v>
      </c>
      <c r="T47" s="55">
        <f>SUM(P47:S47)</f>
        <v>0</v>
      </c>
      <c r="U47" s="50">
        <v>0</v>
      </c>
      <c r="V47" s="50">
        <v>0</v>
      </c>
      <c r="W47" s="50">
        <v>0</v>
      </c>
      <c r="X47" s="50">
        <v>0</v>
      </c>
      <c r="Y47" s="55">
        <f>SUM(U47:X47)</f>
        <v>0</v>
      </c>
    </row>
    <row r="48" spans="2:25" collapsed="1" x14ac:dyDescent="0.2">
      <c r="B48" s="197" t="s">
        <v>260</v>
      </c>
      <c r="C48" s="196">
        <f>SUM(C43:C47)</f>
        <v>5</v>
      </c>
      <c r="D48" s="196">
        <f t="shared" ref="D48:O48" si="34">SUM(D43:D47)</f>
        <v>8</v>
      </c>
      <c r="E48" s="186">
        <f t="shared" si="34"/>
        <v>55</v>
      </c>
      <c r="F48" s="196">
        <f t="shared" si="34"/>
        <v>342</v>
      </c>
      <c r="G48" s="196">
        <f t="shared" si="34"/>
        <v>741</v>
      </c>
      <c r="H48" s="196">
        <f t="shared" si="34"/>
        <v>313</v>
      </c>
      <c r="I48" s="196">
        <f t="shared" si="34"/>
        <v>-4</v>
      </c>
      <c r="J48" s="186">
        <f t="shared" si="34"/>
        <v>1392</v>
      </c>
      <c r="K48" s="196">
        <f t="shared" si="34"/>
        <v>7</v>
      </c>
      <c r="L48" s="196">
        <f t="shared" si="34"/>
        <v>-5</v>
      </c>
      <c r="M48" s="196">
        <f t="shared" si="34"/>
        <v>33</v>
      </c>
      <c r="N48" s="196">
        <f t="shared" si="34"/>
        <v>-3797</v>
      </c>
      <c r="O48" s="205">
        <f t="shared" si="34"/>
        <v>-3762</v>
      </c>
      <c r="P48" s="50">
        <f>SUM(P43:P47)</f>
        <v>0</v>
      </c>
      <c r="Q48" s="50">
        <f t="shared" ref="Q48:S48" si="35">SUM(Q43:Q47)</f>
        <v>0</v>
      </c>
      <c r="R48" s="50">
        <f t="shared" si="35"/>
        <v>0</v>
      </c>
      <c r="S48" s="50">
        <f t="shared" si="35"/>
        <v>0</v>
      </c>
      <c r="T48" s="55">
        <f>SUM(T43:T47)</f>
        <v>0</v>
      </c>
      <c r="U48" s="50">
        <f>SUM(U43:U47)</f>
        <v>0</v>
      </c>
      <c r="V48" s="50">
        <f t="shared" ref="V48:X48" si="36">SUM(V43:V47)</f>
        <v>0</v>
      </c>
      <c r="W48" s="50">
        <f t="shared" si="36"/>
        <v>0</v>
      </c>
      <c r="X48" s="50">
        <f t="shared" si="36"/>
        <v>0</v>
      </c>
      <c r="Y48" s="55">
        <f>SUM(Y43:Y47)</f>
        <v>0</v>
      </c>
    </row>
    <row r="49" spans="2:25" x14ac:dyDescent="0.2">
      <c r="B49" s="207" t="s">
        <v>261</v>
      </c>
      <c r="C49" s="208">
        <v>-70</v>
      </c>
      <c r="D49" s="208">
        <v>-63</v>
      </c>
      <c r="E49" s="209">
        <v>-328</v>
      </c>
      <c r="F49" s="208">
        <v>265</v>
      </c>
      <c r="G49" s="208">
        <v>714</v>
      </c>
      <c r="H49" s="208">
        <v>246</v>
      </c>
      <c r="I49" s="208">
        <v>-54</v>
      </c>
      <c r="J49" s="209">
        <v>1171</v>
      </c>
      <c r="K49" s="208">
        <v>-68</v>
      </c>
      <c r="L49" s="208">
        <v>-46</v>
      </c>
      <c r="M49" s="208">
        <v>-42</v>
      </c>
      <c r="N49" s="208">
        <v>-3847</v>
      </c>
      <c r="O49" s="210">
        <v>-4003</v>
      </c>
      <c r="P49" s="51">
        <f>P38+P39+P42+P48</f>
        <v>-67.718063086150039</v>
      </c>
      <c r="Q49" s="51">
        <f t="shared" ref="Q49:S49" si="37">Q38+Q39+Q42+Q48</f>
        <v>-80.407621100295202</v>
      </c>
      <c r="R49" s="51">
        <f t="shared" si="37"/>
        <v>-97.028085646054166</v>
      </c>
      <c r="S49" s="51">
        <f t="shared" si="37"/>
        <v>-96.931030104956704</v>
      </c>
      <c r="T49" s="56">
        <f>T38+T39+T42+T48</f>
        <v>-342.08479993745613</v>
      </c>
      <c r="U49" s="51">
        <f>U38+U39+U42+U48</f>
        <v>-93.106941751956782</v>
      </c>
      <c r="V49" s="51">
        <f t="shared" ref="V49:X49" si="38">V38+V39+V42+V48</f>
        <v>-128.39912037513938</v>
      </c>
      <c r="W49" s="51">
        <f t="shared" si="38"/>
        <v>-140.18137008556272</v>
      </c>
      <c r="X49" s="51">
        <f t="shared" si="38"/>
        <v>-149.09365631741886</v>
      </c>
      <c r="Y49" s="56">
        <f>Y38+Y39+Y42+Y48</f>
        <v>-510.78108853007774</v>
      </c>
    </row>
    <row r="50" spans="2:25" x14ac:dyDescent="0.2">
      <c r="B50" s="140"/>
      <c r="C50" s="200"/>
      <c r="D50" s="200"/>
      <c r="E50" s="203"/>
      <c r="F50" s="200"/>
      <c r="G50" s="200"/>
      <c r="H50" s="200"/>
      <c r="I50" s="200"/>
      <c r="J50" s="203"/>
      <c r="K50" s="200"/>
      <c r="L50" s="200"/>
      <c r="M50" s="200"/>
      <c r="N50" s="200"/>
      <c r="O50" s="206"/>
      <c r="P50" s="50"/>
      <c r="Q50" s="50"/>
      <c r="R50" s="50"/>
      <c r="S50" s="50"/>
      <c r="T50" s="55"/>
      <c r="U50" s="50"/>
      <c r="V50" s="50"/>
      <c r="W50" s="50"/>
      <c r="X50" s="50"/>
      <c r="Y50" s="55"/>
    </row>
    <row r="51" spans="2:25" hidden="1" outlineLevel="1" x14ac:dyDescent="0.2">
      <c r="B51" s="199" t="s">
        <v>262</v>
      </c>
      <c r="C51" s="198">
        <v>0</v>
      </c>
      <c r="D51" s="198">
        <v>0</v>
      </c>
      <c r="E51" s="202">
        <v>1393</v>
      </c>
      <c r="F51" s="198">
        <v>0</v>
      </c>
      <c r="G51" s="198">
        <v>0</v>
      </c>
      <c r="H51" s="198">
        <v>0</v>
      </c>
      <c r="I51" s="198">
        <v>0</v>
      </c>
      <c r="J51" s="202">
        <v>0</v>
      </c>
      <c r="K51" s="198">
        <v>0</v>
      </c>
      <c r="L51" s="198">
        <v>0</v>
      </c>
      <c r="M51" s="198">
        <v>0</v>
      </c>
      <c r="N51" s="198">
        <v>0</v>
      </c>
      <c r="O51" s="204">
        <v>0</v>
      </c>
      <c r="P51" s="50">
        <v>0</v>
      </c>
      <c r="Q51" s="50">
        <v>0</v>
      </c>
      <c r="R51" s="50">
        <v>0</v>
      </c>
      <c r="S51" s="50">
        <v>0</v>
      </c>
      <c r="T51" s="55">
        <f>SUM(P51:S51)</f>
        <v>0</v>
      </c>
      <c r="U51" s="50">
        <v>0</v>
      </c>
      <c r="V51" s="50">
        <v>0</v>
      </c>
      <c r="W51" s="50">
        <v>0</v>
      </c>
      <c r="X51" s="50">
        <v>0</v>
      </c>
      <c r="Y51" s="55">
        <f>SUM(U51:X51)</f>
        <v>0</v>
      </c>
    </row>
    <row r="52" spans="2:25" hidden="1" outlineLevel="1" x14ac:dyDescent="0.2">
      <c r="B52" s="199" t="s">
        <v>263</v>
      </c>
      <c r="C52" s="198">
        <v>0</v>
      </c>
      <c r="D52" s="198">
        <v>0</v>
      </c>
      <c r="E52" s="202">
        <v>2219</v>
      </c>
      <c r="F52" s="198">
        <v>0</v>
      </c>
      <c r="G52" s="198">
        <v>0</v>
      </c>
      <c r="H52" s="198">
        <v>0</v>
      </c>
      <c r="I52" s="198">
        <v>0</v>
      </c>
      <c r="J52" s="202">
        <v>0</v>
      </c>
      <c r="K52" s="198">
        <v>0</v>
      </c>
      <c r="L52" s="198">
        <v>0</v>
      </c>
      <c r="M52" s="198">
        <v>0</v>
      </c>
      <c r="N52" s="198">
        <v>0</v>
      </c>
      <c r="O52" s="204">
        <v>0</v>
      </c>
      <c r="P52" s="50">
        <v>0</v>
      </c>
      <c r="Q52" s="50">
        <v>0</v>
      </c>
      <c r="R52" s="50">
        <v>0</v>
      </c>
      <c r="S52" s="50">
        <v>0</v>
      </c>
      <c r="T52" s="55">
        <f>SUM(P52:S52)</f>
        <v>0</v>
      </c>
      <c r="U52" s="50">
        <v>0</v>
      </c>
      <c r="V52" s="50">
        <v>0</v>
      </c>
      <c r="W52" s="50">
        <v>0</v>
      </c>
      <c r="X52" s="50">
        <v>0</v>
      </c>
      <c r="Y52" s="55">
        <f>SUM(U52:X52)</f>
        <v>0</v>
      </c>
    </row>
    <row r="53" spans="2:25" hidden="1" outlineLevel="1" x14ac:dyDescent="0.2">
      <c r="B53" s="199" t="s">
        <v>264</v>
      </c>
      <c r="C53" s="198">
        <v>0</v>
      </c>
      <c r="D53" s="198">
        <v>0</v>
      </c>
      <c r="E53" s="202">
        <v>-3898</v>
      </c>
      <c r="F53" s="198">
        <v>0</v>
      </c>
      <c r="G53" s="198">
        <v>0</v>
      </c>
      <c r="H53" s="198">
        <v>0</v>
      </c>
      <c r="I53" s="198">
        <v>0</v>
      </c>
      <c r="J53" s="202">
        <v>0</v>
      </c>
      <c r="K53" s="198">
        <v>0</v>
      </c>
      <c r="L53" s="198">
        <v>0</v>
      </c>
      <c r="M53" s="198">
        <v>0</v>
      </c>
      <c r="N53" s="198">
        <v>0</v>
      </c>
      <c r="O53" s="204">
        <v>0</v>
      </c>
      <c r="P53" s="50">
        <v>0</v>
      </c>
      <c r="Q53" s="50">
        <v>0</v>
      </c>
      <c r="R53" s="50">
        <v>0</v>
      </c>
      <c r="S53" s="50">
        <v>0</v>
      </c>
      <c r="T53" s="55">
        <f>SUM(P53:S53)</f>
        <v>0</v>
      </c>
      <c r="U53" s="50">
        <v>0</v>
      </c>
      <c r="V53" s="50">
        <v>0</v>
      </c>
      <c r="W53" s="50">
        <v>0</v>
      </c>
      <c r="X53" s="50">
        <v>0</v>
      </c>
      <c r="Y53" s="55">
        <f>SUM(U53:X53)</f>
        <v>0</v>
      </c>
    </row>
    <row r="54" spans="2:25" hidden="1" outlineLevel="1" x14ac:dyDescent="0.2">
      <c r="B54" s="199" t="s">
        <v>265</v>
      </c>
      <c r="C54" s="198">
        <v>0</v>
      </c>
      <c r="D54" s="198">
        <v>0</v>
      </c>
      <c r="E54" s="202">
        <v>-152</v>
      </c>
      <c r="F54" s="198">
        <v>0</v>
      </c>
      <c r="G54" s="198">
        <v>0</v>
      </c>
      <c r="H54" s="198">
        <v>0</v>
      </c>
      <c r="I54" s="198">
        <v>0</v>
      </c>
      <c r="J54" s="202">
        <v>0</v>
      </c>
      <c r="K54" s="198">
        <v>0</v>
      </c>
      <c r="L54" s="198">
        <v>0</v>
      </c>
      <c r="M54" s="198">
        <v>0</v>
      </c>
      <c r="N54" s="198">
        <v>0</v>
      </c>
      <c r="O54" s="204">
        <v>0</v>
      </c>
      <c r="P54" s="50">
        <v>0</v>
      </c>
      <c r="Q54" s="50">
        <v>0</v>
      </c>
      <c r="R54" s="50">
        <v>0</v>
      </c>
      <c r="S54" s="50">
        <v>0</v>
      </c>
      <c r="T54" s="55">
        <f>SUM(P54:S54)</f>
        <v>0</v>
      </c>
      <c r="U54" s="50">
        <v>0</v>
      </c>
      <c r="V54" s="50">
        <v>0</v>
      </c>
      <c r="W54" s="50">
        <v>0</v>
      </c>
      <c r="X54" s="50">
        <v>0</v>
      </c>
      <c r="Y54" s="55">
        <f>SUM(U54:X54)</f>
        <v>0</v>
      </c>
    </row>
    <row r="55" spans="2:25" collapsed="1" x14ac:dyDescent="0.2">
      <c r="B55" s="8" t="s">
        <v>266</v>
      </c>
      <c r="C55" s="196">
        <f>SUM(C51:C54)</f>
        <v>0</v>
      </c>
      <c r="D55" s="196">
        <f t="shared" ref="D55:O55" si="39">SUM(D51:D54)</f>
        <v>0</v>
      </c>
      <c r="E55" s="186">
        <f t="shared" si="39"/>
        <v>-438</v>
      </c>
      <c r="F55" s="196">
        <f t="shared" si="39"/>
        <v>0</v>
      </c>
      <c r="G55" s="196">
        <f t="shared" si="39"/>
        <v>0</v>
      </c>
      <c r="H55" s="196">
        <f t="shared" si="39"/>
        <v>0</v>
      </c>
      <c r="I55" s="196">
        <f t="shared" si="39"/>
        <v>0</v>
      </c>
      <c r="J55" s="186">
        <f t="shared" si="39"/>
        <v>0</v>
      </c>
      <c r="K55" s="196">
        <f t="shared" si="39"/>
        <v>0</v>
      </c>
      <c r="L55" s="196">
        <f t="shared" si="39"/>
        <v>0</v>
      </c>
      <c r="M55" s="196">
        <f t="shared" si="39"/>
        <v>0</v>
      </c>
      <c r="N55" s="196">
        <f t="shared" si="39"/>
        <v>0</v>
      </c>
      <c r="O55" s="205">
        <f t="shared" si="39"/>
        <v>0</v>
      </c>
      <c r="P55" s="50">
        <f>SUM(P51:P54)</f>
        <v>0</v>
      </c>
      <c r="Q55" s="50">
        <f t="shared" ref="Q55:S55" si="40">SUM(Q51:Q54)</f>
        <v>0</v>
      </c>
      <c r="R55" s="50">
        <f t="shared" si="40"/>
        <v>0</v>
      </c>
      <c r="S55" s="50">
        <f t="shared" si="40"/>
        <v>0</v>
      </c>
      <c r="T55" s="55">
        <f>SUM(T51:T54)</f>
        <v>0</v>
      </c>
      <c r="U55" s="50">
        <f>SUM(U51:U54)</f>
        <v>0</v>
      </c>
      <c r="V55" s="50">
        <f t="shared" ref="V55:X55" si="41">SUM(V51:V54)</f>
        <v>0</v>
      </c>
      <c r="W55" s="50">
        <f t="shared" si="41"/>
        <v>0</v>
      </c>
      <c r="X55" s="50">
        <f t="shared" si="41"/>
        <v>0</v>
      </c>
      <c r="Y55" s="55">
        <f>SUM(Y51:Y54)</f>
        <v>0</v>
      </c>
    </row>
    <row r="56" spans="2:25" hidden="1" outlineLevel="1" x14ac:dyDescent="0.2">
      <c r="B56" s="199" t="s">
        <v>267</v>
      </c>
      <c r="C56" s="198">
        <v>0</v>
      </c>
      <c r="D56" s="198">
        <v>0</v>
      </c>
      <c r="E56" s="202">
        <v>0</v>
      </c>
      <c r="F56" s="198">
        <v>0</v>
      </c>
      <c r="G56" s="198">
        <v>0</v>
      </c>
      <c r="H56" s="198">
        <v>0</v>
      </c>
      <c r="I56" s="198">
        <v>849</v>
      </c>
      <c r="J56" s="202">
        <v>849</v>
      </c>
      <c r="K56" s="198">
        <v>0</v>
      </c>
      <c r="L56" s="198">
        <v>0</v>
      </c>
      <c r="M56" s="198">
        <v>0</v>
      </c>
      <c r="N56" s="198">
        <v>3890</v>
      </c>
      <c r="O56" s="204">
        <v>3890</v>
      </c>
      <c r="P56" s="50">
        <v>0</v>
      </c>
      <c r="Q56" s="50">
        <v>0</v>
      </c>
      <c r="R56" s="50">
        <v>0</v>
      </c>
      <c r="S56" s="50">
        <v>0</v>
      </c>
      <c r="T56" s="55">
        <f>SUM(P56:S56)</f>
        <v>0</v>
      </c>
      <c r="U56" s="50">
        <v>0</v>
      </c>
      <c r="V56" s="50">
        <v>0</v>
      </c>
      <c r="W56" s="50">
        <v>0</v>
      </c>
      <c r="X56" s="50">
        <v>0</v>
      </c>
      <c r="Y56" s="55">
        <f>SUM(U56:X56)</f>
        <v>0</v>
      </c>
    </row>
    <row r="57" spans="2:25" hidden="1" outlineLevel="1" x14ac:dyDescent="0.2">
      <c r="B57" s="199" t="s">
        <v>268</v>
      </c>
      <c r="C57" s="198">
        <v>289</v>
      </c>
      <c r="D57" s="198">
        <v>-1</v>
      </c>
      <c r="E57" s="202">
        <v>288</v>
      </c>
      <c r="F57" s="198">
        <v>0</v>
      </c>
      <c r="G57" s="198">
        <v>0</v>
      </c>
      <c r="H57" s="198">
        <v>0</v>
      </c>
      <c r="I57" s="198">
        <v>0</v>
      </c>
      <c r="J57" s="202">
        <v>0</v>
      </c>
      <c r="K57" s="198">
        <v>0</v>
      </c>
      <c r="L57" s="198">
        <v>0</v>
      </c>
      <c r="M57" s="198">
        <v>0</v>
      </c>
      <c r="N57" s="198">
        <v>0</v>
      </c>
      <c r="O57" s="204">
        <v>0</v>
      </c>
      <c r="P57" s="50">
        <v>0</v>
      </c>
      <c r="Q57" s="50">
        <v>0</v>
      </c>
      <c r="R57" s="50">
        <v>0</v>
      </c>
      <c r="S57" s="50">
        <v>0</v>
      </c>
      <c r="T57" s="55">
        <f>SUM(P57:S57)</f>
        <v>0</v>
      </c>
      <c r="U57" s="50">
        <v>0</v>
      </c>
      <c r="V57" s="50">
        <v>0</v>
      </c>
      <c r="W57" s="50">
        <v>0</v>
      </c>
      <c r="X57" s="50">
        <v>0</v>
      </c>
      <c r="Y57" s="55">
        <f>SUM(U57:X57)</f>
        <v>0</v>
      </c>
    </row>
    <row r="58" spans="2:25" hidden="1" outlineLevel="1" x14ac:dyDescent="0.2">
      <c r="B58" s="199" t="s">
        <v>269</v>
      </c>
      <c r="C58" s="198">
        <v>0</v>
      </c>
      <c r="D58" s="198">
        <v>0</v>
      </c>
      <c r="E58" s="202">
        <v>0</v>
      </c>
      <c r="F58" s="198">
        <v>0</v>
      </c>
      <c r="G58" s="198">
        <v>0</v>
      </c>
      <c r="H58" s="198">
        <v>0</v>
      </c>
      <c r="I58" s="198">
        <v>0</v>
      </c>
      <c r="J58" s="202">
        <v>0</v>
      </c>
      <c r="K58" s="198">
        <v>0</v>
      </c>
      <c r="L58" s="198">
        <v>75</v>
      </c>
      <c r="M58" s="198">
        <v>0</v>
      </c>
      <c r="N58" s="198">
        <v>0</v>
      </c>
      <c r="O58" s="204">
        <v>75</v>
      </c>
      <c r="P58" s="50">
        <v>0</v>
      </c>
      <c r="Q58" s="50">
        <v>0</v>
      </c>
      <c r="R58" s="50">
        <v>0</v>
      </c>
      <c r="S58" s="50">
        <v>0</v>
      </c>
      <c r="T58" s="55">
        <f>SUM(P58:S58)</f>
        <v>0</v>
      </c>
      <c r="U58" s="50">
        <v>0</v>
      </c>
      <c r="V58" s="50">
        <v>0</v>
      </c>
      <c r="W58" s="50">
        <v>0</v>
      </c>
      <c r="X58" s="50">
        <v>0</v>
      </c>
      <c r="Y58" s="55">
        <f>SUM(U58:X58)</f>
        <v>0</v>
      </c>
    </row>
    <row r="59" spans="2:25" collapsed="1" x14ac:dyDescent="0.2">
      <c r="B59" s="8" t="s">
        <v>270</v>
      </c>
      <c r="C59" s="196">
        <f>SUM(C56:C58)</f>
        <v>289</v>
      </c>
      <c r="D59" s="196">
        <f t="shared" ref="D59:O59" si="42">SUM(D56:D58)</f>
        <v>-1</v>
      </c>
      <c r="E59" s="186">
        <f t="shared" si="42"/>
        <v>288</v>
      </c>
      <c r="F59" s="196">
        <f t="shared" si="42"/>
        <v>0</v>
      </c>
      <c r="G59" s="196">
        <f t="shared" si="42"/>
        <v>0</v>
      </c>
      <c r="H59" s="196">
        <f t="shared" si="42"/>
        <v>0</v>
      </c>
      <c r="I59" s="196">
        <f t="shared" si="42"/>
        <v>849</v>
      </c>
      <c r="J59" s="186">
        <f t="shared" si="42"/>
        <v>849</v>
      </c>
      <c r="K59" s="196">
        <f t="shared" si="42"/>
        <v>0</v>
      </c>
      <c r="L59" s="196">
        <f t="shared" si="42"/>
        <v>75</v>
      </c>
      <c r="M59" s="196">
        <f t="shared" si="42"/>
        <v>0</v>
      </c>
      <c r="N59" s="196">
        <f t="shared" si="42"/>
        <v>3890</v>
      </c>
      <c r="O59" s="205">
        <f t="shared" si="42"/>
        <v>3965</v>
      </c>
      <c r="P59" s="50">
        <f>SUM(P56:P58)</f>
        <v>0</v>
      </c>
      <c r="Q59" s="50">
        <f t="shared" ref="Q59:S59" si="43">SUM(Q56:Q58)</f>
        <v>0</v>
      </c>
      <c r="R59" s="50">
        <f t="shared" si="43"/>
        <v>0</v>
      </c>
      <c r="S59" s="50">
        <f t="shared" si="43"/>
        <v>0</v>
      </c>
      <c r="T59" s="55">
        <f>SUM(T56:T58)</f>
        <v>0</v>
      </c>
      <c r="U59" s="50">
        <f>SUM(U56:U58)</f>
        <v>0</v>
      </c>
      <c r="V59" s="50">
        <f t="shared" ref="V59:X59" si="44">SUM(V56:V58)</f>
        <v>0</v>
      </c>
      <c r="W59" s="50">
        <f t="shared" si="44"/>
        <v>0</v>
      </c>
      <c r="X59" s="50">
        <f t="shared" si="44"/>
        <v>0</v>
      </c>
      <c r="Y59" s="55">
        <f>SUM(Y56:Y58)</f>
        <v>0</v>
      </c>
    </row>
    <row r="60" spans="2:25" hidden="1" outlineLevel="1" x14ac:dyDescent="0.2">
      <c r="B60" s="199" t="s">
        <v>271</v>
      </c>
      <c r="C60" s="198">
        <v>-4</v>
      </c>
      <c r="D60" s="198">
        <v>-3</v>
      </c>
      <c r="E60" s="202">
        <v>-81</v>
      </c>
      <c r="F60" s="198">
        <v>0</v>
      </c>
      <c r="G60" s="198">
        <v>0</v>
      </c>
      <c r="H60" s="198">
        <v>0</v>
      </c>
      <c r="I60" s="198">
        <v>-13</v>
      </c>
      <c r="J60" s="202">
        <v>-13</v>
      </c>
      <c r="K60" s="198">
        <v>-9</v>
      </c>
      <c r="L60" s="198">
        <v>0</v>
      </c>
      <c r="M60" s="198">
        <v>-20</v>
      </c>
      <c r="N60" s="198">
        <v>-60</v>
      </c>
      <c r="O60" s="204">
        <v>-89</v>
      </c>
      <c r="P60" s="50">
        <v>0</v>
      </c>
      <c r="Q60" s="50">
        <v>0</v>
      </c>
      <c r="R60" s="50">
        <v>0</v>
      </c>
      <c r="S60" s="50">
        <v>0</v>
      </c>
      <c r="T60" s="55">
        <f t="shared" ref="T60:T65" si="45">SUM(P60:S60)</f>
        <v>0</v>
      </c>
      <c r="U60" s="50">
        <v>0</v>
      </c>
      <c r="V60" s="50">
        <v>0</v>
      </c>
      <c r="W60" s="50">
        <v>0</v>
      </c>
      <c r="X60" s="50">
        <v>0</v>
      </c>
      <c r="Y60" s="55">
        <f t="shared" ref="Y60:Y65" si="46">SUM(U60:X60)</f>
        <v>0</v>
      </c>
    </row>
    <row r="61" spans="2:25" hidden="1" outlineLevel="1" x14ac:dyDescent="0.2">
      <c r="B61" s="199" t="s">
        <v>272</v>
      </c>
      <c r="C61" s="198">
        <v>0</v>
      </c>
      <c r="D61" s="198">
        <v>0</v>
      </c>
      <c r="E61" s="202">
        <v>0</v>
      </c>
      <c r="F61" s="198">
        <v>0</v>
      </c>
      <c r="G61" s="198">
        <v>0</v>
      </c>
      <c r="H61" s="198">
        <v>0</v>
      </c>
      <c r="I61" s="198">
        <v>0</v>
      </c>
      <c r="J61" s="202">
        <v>0</v>
      </c>
      <c r="K61" s="198">
        <v>0</v>
      </c>
      <c r="L61" s="198">
        <v>-5</v>
      </c>
      <c r="M61" s="198">
        <v>-70</v>
      </c>
      <c r="N61" s="198">
        <v>0</v>
      </c>
      <c r="O61" s="204">
        <v>-75</v>
      </c>
      <c r="P61" s="50">
        <v>0</v>
      </c>
      <c r="Q61" s="50">
        <v>0</v>
      </c>
      <c r="R61" s="50">
        <v>0</v>
      </c>
      <c r="S61" s="50">
        <v>0</v>
      </c>
      <c r="T61" s="55">
        <f t="shared" si="45"/>
        <v>0</v>
      </c>
      <c r="U61" s="50">
        <v>0</v>
      </c>
      <c r="V61" s="50">
        <v>0</v>
      </c>
      <c r="W61" s="50">
        <v>0</v>
      </c>
      <c r="X61" s="50">
        <v>0</v>
      </c>
      <c r="Y61" s="55">
        <f t="shared" si="46"/>
        <v>0</v>
      </c>
    </row>
    <row r="62" spans="2:25" hidden="1" outlineLevel="1" x14ac:dyDescent="0.2">
      <c r="B62" s="199" t="s">
        <v>273</v>
      </c>
      <c r="C62" s="198">
        <v>0</v>
      </c>
      <c r="D62" s="198">
        <v>-15</v>
      </c>
      <c r="E62" s="202">
        <v>-15</v>
      </c>
      <c r="F62" s="198">
        <v>-182</v>
      </c>
      <c r="G62" s="198">
        <v>0</v>
      </c>
      <c r="H62" s="198">
        <v>0</v>
      </c>
      <c r="I62" s="198">
        <v>0</v>
      </c>
      <c r="J62" s="202">
        <v>-182</v>
      </c>
      <c r="K62" s="198">
        <v>0</v>
      </c>
      <c r="L62" s="198">
        <v>0</v>
      </c>
      <c r="M62" s="198">
        <v>0</v>
      </c>
      <c r="N62" s="198">
        <v>0</v>
      </c>
      <c r="O62" s="204">
        <v>0</v>
      </c>
      <c r="P62" s="50">
        <v>0</v>
      </c>
      <c r="Q62" s="50">
        <v>0</v>
      </c>
      <c r="R62" s="50">
        <v>0</v>
      </c>
      <c r="S62" s="50">
        <v>0</v>
      </c>
      <c r="T62" s="55">
        <f t="shared" si="45"/>
        <v>0</v>
      </c>
      <c r="U62" s="50">
        <v>0</v>
      </c>
      <c r="V62" s="50">
        <v>0</v>
      </c>
      <c r="W62" s="50">
        <v>0</v>
      </c>
      <c r="X62" s="50">
        <v>0</v>
      </c>
      <c r="Y62" s="55">
        <f t="shared" si="46"/>
        <v>0</v>
      </c>
    </row>
    <row r="63" spans="2:25" hidden="1" outlineLevel="1" x14ac:dyDescent="0.2">
      <c r="B63" s="199" t="s">
        <v>274</v>
      </c>
      <c r="C63" s="198">
        <v>-293</v>
      </c>
      <c r="D63" s="198">
        <v>0</v>
      </c>
      <c r="E63" s="202">
        <v>-301</v>
      </c>
      <c r="F63" s="198">
        <v>0</v>
      </c>
      <c r="G63" s="198">
        <v>0</v>
      </c>
      <c r="H63" s="198">
        <v>0</v>
      </c>
      <c r="I63" s="198">
        <v>0</v>
      </c>
      <c r="J63" s="202">
        <v>0</v>
      </c>
      <c r="K63" s="198">
        <v>0</v>
      </c>
      <c r="L63" s="198">
        <v>0</v>
      </c>
      <c r="M63" s="198">
        <v>0</v>
      </c>
      <c r="N63" s="198">
        <v>0</v>
      </c>
      <c r="O63" s="204">
        <v>0</v>
      </c>
      <c r="P63" s="50">
        <v>0</v>
      </c>
      <c r="Q63" s="50">
        <v>0</v>
      </c>
      <c r="R63" s="50">
        <v>0</v>
      </c>
      <c r="S63" s="50">
        <v>0</v>
      </c>
      <c r="T63" s="55">
        <f t="shared" si="45"/>
        <v>0</v>
      </c>
      <c r="U63" s="50">
        <v>0</v>
      </c>
      <c r="V63" s="50">
        <v>0</v>
      </c>
      <c r="W63" s="50">
        <v>0</v>
      </c>
      <c r="X63" s="50">
        <v>0</v>
      </c>
      <c r="Y63" s="55">
        <f t="shared" si="46"/>
        <v>0</v>
      </c>
    </row>
    <row r="64" spans="2:25" hidden="1" outlineLevel="1" x14ac:dyDescent="0.2">
      <c r="B64" s="199" t="s">
        <v>275</v>
      </c>
      <c r="C64" s="198">
        <v>0</v>
      </c>
      <c r="D64" s="198">
        <v>0</v>
      </c>
      <c r="E64" s="202">
        <v>0</v>
      </c>
      <c r="F64" s="198">
        <v>0</v>
      </c>
      <c r="G64" s="198">
        <v>0</v>
      </c>
      <c r="H64" s="198">
        <v>0</v>
      </c>
      <c r="I64" s="198">
        <v>0</v>
      </c>
      <c r="J64" s="202">
        <v>0</v>
      </c>
      <c r="K64" s="198">
        <v>-4</v>
      </c>
      <c r="L64" s="198">
        <v>-5</v>
      </c>
      <c r="M64" s="198">
        <v>-4</v>
      </c>
      <c r="N64" s="198">
        <v>13</v>
      </c>
      <c r="O64" s="204">
        <v>0</v>
      </c>
      <c r="P64" s="50">
        <v>0</v>
      </c>
      <c r="Q64" s="50">
        <v>0</v>
      </c>
      <c r="R64" s="50">
        <v>0</v>
      </c>
      <c r="S64" s="50">
        <v>0</v>
      </c>
      <c r="T64" s="55">
        <f t="shared" si="45"/>
        <v>0</v>
      </c>
      <c r="U64" s="50">
        <v>0</v>
      </c>
      <c r="V64" s="50">
        <v>0</v>
      </c>
      <c r="W64" s="50">
        <v>0</v>
      </c>
      <c r="X64" s="50">
        <v>0</v>
      </c>
      <c r="Y64" s="55">
        <f t="shared" si="46"/>
        <v>0</v>
      </c>
    </row>
    <row r="65" spans="2:27" hidden="1" outlineLevel="1" x14ac:dyDescent="0.2">
      <c r="B65" s="199" t="s">
        <v>276</v>
      </c>
      <c r="C65" s="198">
        <v>0</v>
      </c>
      <c r="D65" s="198">
        <v>0</v>
      </c>
      <c r="E65" s="202">
        <v>0</v>
      </c>
      <c r="F65" s="198">
        <v>0</v>
      </c>
      <c r="G65" s="198">
        <v>0</v>
      </c>
      <c r="H65" s="198">
        <v>0</v>
      </c>
      <c r="I65" s="198">
        <v>-479</v>
      </c>
      <c r="J65" s="202">
        <v>-479</v>
      </c>
      <c r="K65" s="198">
        <v>0</v>
      </c>
      <c r="L65" s="198">
        <v>0</v>
      </c>
      <c r="M65" s="198">
        <v>0</v>
      </c>
      <c r="N65" s="198">
        <v>-17</v>
      </c>
      <c r="O65" s="204">
        <v>-17</v>
      </c>
      <c r="P65" s="50">
        <v>0</v>
      </c>
      <c r="Q65" s="50">
        <v>0</v>
      </c>
      <c r="R65" s="50">
        <v>0</v>
      </c>
      <c r="S65" s="50">
        <v>0</v>
      </c>
      <c r="T65" s="55">
        <f t="shared" si="45"/>
        <v>0</v>
      </c>
      <c r="U65" s="50">
        <v>0</v>
      </c>
      <c r="V65" s="50">
        <v>0</v>
      </c>
      <c r="W65" s="50">
        <v>0</v>
      </c>
      <c r="X65" s="50">
        <v>0</v>
      </c>
      <c r="Y65" s="55">
        <f t="shared" si="46"/>
        <v>0</v>
      </c>
    </row>
    <row r="66" spans="2:27" collapsed="1" x14ac:dyDescent="0.2">
      <c r="B66" s="197" t="s">
        <v>277</v>
      </c>
      <c r="C66" s="198">
        <f t="shared" ref="C66:O66" si="47">SUM(C60:C65)</f>
        <v>-297</v>
      </c>
      <c r="D66" s="198">
        <f t="shared" si="47"/>
        <v>-18</v>
      </c>
      <c r="E66" s="202">
        <f t="shared" si="47"/>
        <v>-397</v>
      </c>
      <c r="F66" s="198">
        <f t="shared" si="47"/>
        <v>-182</v>
      </c>
      <c r="G66" s="198">
        <f t="shared" si="47"/>
        <v>0</v>
      </c>
      <c r="H66" s="198">
        <f t="shared" si="47"/>
        <v>0</v>
      </c>
      <c r="I66" s="198">
        <f t="shared" si="47"/>
        <v>-492</v>
      </c>
      <c r="J66" s="202">
        <f t="shared" si="47"/>
        <v>-674</v>
      </c>
      <c r="K66" s="198">
        <f t="shared" si="47"/>
        <v>-13</v>
      </c>
      <c r="L66" s="198">
        <f t="shared" si="47"/>
        <v>-10</v>
      </c>
      <c r="M66" s="198">
        <f t="shared" si="47"/>
        <v>-94</v>
      </c>
      <c r="N66" s="198">
        <f t="shared" si="47"/>
        <v>-64</v>
      </c>
      <c r="O66" s="204">
        <f t="shared" si="47"/>
        <v>-181</v>
      </c>
      <c r="P66" s="50">
        <v>0</v>
      </c>
      <c r="Q66" s="50">
        <v>0</v>
      </c>
      <c r="R66" s="50">
        <v>0</v>
      </c>
      <c r="S66" s="50">
        <v>0</v>
      </c>
      <c r="T66" s="55">
        <v>0</v>
      </c>
      <c r="U66" s="50">
        <v>0</v>
      </c>
      <c r="V66" s="50">
        <v>0</v>
      </c>
      <c r="W66" s="50">
        <v>0</v>
      </c>
      <c r="X66" s="50">
        <v>0</v>
      </c>
      <c r="Y66" s="55">
        <v>0</v>
      </c>
    </row>
    <row r="67" spans="2:27" hidden="1" outlineLevel="1" x14ac:dyDescent="0.2">
      <c r="B67" s="199" t="s">
        <v>278</v>
      </c>
      <c r="C67" s="198">
        <v>-40</v>
      </c>
      <c r="D67" s="198">
        <v>0</v>
      </c>
      <c r="E67" s="202">
        <v>-40</v>
      </c>
      <c r="F67" s="198">
        <v>0</v>
      </c>
      <c r="G67" s="198">
        <v>0</v>
      </c>
      <c r="H67" s="198">
        <v>0</v>
      </c>
      <c r="I67" s="198">
        <v>-16</v>
      </c>
      <c r="J67" s="202">
        <v>-16</v>
      </c>
      <c r="K67" s="198">
        <v>0</v>
      </c>
      <c r="L67" s="198">
        <v>0</v>
      </c>
      <c r="M67" s="198">
        <v>0</v>
      </c>
      <c r="N67" s="198">
        <v>0</v>
      </c>
      <c r="O67" s="204">
        <v>0</v>
      </c>
      <c r="P67" s="50">
        <v>0</v>
      </c>
      <c r="Q67" s="50">
        <v>0</v>
      </c>
      <c r="R67" s="50">
        <v>0</v>
      </c>
      <c r="S67" s="50">
        <v>0</v>
      </c>
      <c r="T67" s="55">
        <f>SUM(P67:S67)</f>
        <v>0</v>
      </c>
      <c r="U67" s="50">
        <v>0</v>
      </c>
      <c r="V67" s="50">
        <v>0</v>
      </c>
      <c r="W67" s="50">
        <v>0</v>
      </c>
      <c r="X67" s="50">
        <v>0</v>
      </c>
      <c r="Y67" s="55">
        <f>SUM(U67:X67)</f>
        <v>0</v>
      </c>
    </row>
    <row r="68" spans="2:27" hidden="1" outlineLevel="1" x14ac:dyDescent="0.2">
      <c r="B68" s="199" t="s">
        <v>279</v>
      </c>
      <c r="C68" s="198">
        <v>-19</v>
      </c>
      <c r="D68" s="198">
        <v>0</v>
      </c>
      <c r="E68" s="202">
        <v>-19</v>
      </c>
      <c r="F68" s="198">
        <v>-39</v>
      </c>
      <c r="G68" s="198">
        <v>0</v>
      </c>
      <c r="H68" s="198">
        <v>0</v>
      </c>
      <c r="I68" s="198">
        <v>-86</v>
      </c>
      <c r="J68" s="202">
        <v>-125</v>
      </c>
      <c r="K68" s="198">
        <v>0</v>
      </c>
      <c r="L68" s="198">
        <v>0</v>
      </c>
      <c r="M68" s="198">
        <v>0</v>
      </c>
      <c r="N68" s="198">
        <v>0</v>
      </c>
      <c r="O68" s="204">
        <v>0</v>
      </c>
      <c r="P68" s="50">
        <v>0</v>
      </c>
      <c r="Q68" s="50">
        <v>0</v>
      </c>
      <c r="R68" s="50">
        <v>0</v>
      </c>
      <c r="S68" s="50">
        <v>0</v>
      </c>
      <c r="T68" s="55">
        <f>SUM(P68:S68)</f>
        <v>0</v>
      </c>
      <c r="U68" s="50">
        <v>0</v>
      </c>
      <c r="V68" s="50">
        <v>0</v>
      </c>
      <c r="W68" s="50">
        <v>0</v>
      </c>
      <c r="X68" s="50">
        <v>0</v>
      </c>
      <c r="Y68" s="55">
        <f>SUM(U68:X68)</f>
        <v>0</v>
      </c>
    </row>
    <row r="69" spans="2:27" hidden="1" outlineLevel="1" x14ac:dyDescent="0.2">
      <c r="B69" s="199" t="s">
        <v>280</v>
      </c>
      <c r="C69" s="198">
        <v>0</v>
      </c>
      <c r="D69" s="198">
        <v>0</v>
      </c>
      <c r="E69" s="202">
        <v>0</v>
      </c>
      <c r="F69" s="198">
        <v>-30</v>
      </c>
      <c r="G69" s="198">
        <v>-624</v>
      </c>
      <c r="H69" s="198">
        <v>-302</v>
      </c>
      <c r="I69" s="198">
        <v>-1002</v>
      </c>
      <c r="J69" s="202">
        <v>-1958</v>
      </c>
      <c r="K69" s="198">
        <v>-83</v>
      </c>
      <c r="L69" s="198">
        <v>-20</v>
      </c>
      <c r="M69" s="198">
        <v>0</v>
      </c>
      <c r="N69" s="198">
        <v>0</v>
      </c>
      <c r="O69" s="204">
        <v>-103</v>
      </c>
      <c r="P69" s="50">
        <v>0</v>
      </c>
      <c r="Q69" s="50">
        <v>0</v>
      </c>
      <c r="R69" s="50">
        <v>0</v>
      </c>
      <c r="S69" s="50">
        <v>0</v>
      </c>
      <c r="T69" s="55">
        <f>SUM(P69:S69)</f>
        <v>0</v>
      </c>
      <c r="U69" s="50">
        <v>0</v>
      </c>
      <c r="V69" s="50">
        <v>0</v>
      </c>
      <c r="W69" s="50">
        <v>0</v>
      </c>
      <c r="X69" s="50">
        <v>0</v>
      </c>
      <c r="Y69" s="55">
        <f>SUM(U69:X69)</f>
        <v>0</v>
      </c>
    </row>
    <row r="70" spans="2:27" hidden="1" outlineLevel="1" x14ac:dyDescent="0.2">
      <c r="B70" s="199" t="s">
        <v>281</v>
      </c>
      <c r="C70" s="198">
        <v>0</v>
      </c>
      <c r="D70" s="198">
        <v>0</v>
      </c>
      <c r="E70" s="202">
        <v>0</v>
      </c>
      <c r="F70" s="198">
        <v>0</v>
      </c>
      <c r="G70" s="198">
        <v>-28</v>
      </c>
      <c r="H70" s="198">
        <v>-3</v>
      </c>
      <c r="I70" s="198">
        <v>-1</v>
      </c>
      <c r="J70" s="202">
        <v>-32</v>
      </c>
      <c r="K70" s="198">
        <v>0</v>
      </c>
      <c r="L70" s="198">
        <v>0</v>
      </c>
      <c r="M70" s="198">
        <v>0</v>
      </c>
      <c r="N70" s="198">
        <v>0</v>
      </c>
      <c r="O70" s="204">
        <v>0</v>
      </c>
      <c r="P70" s="50">
        <v>0</v>
      </c>
      <c r="Q70" s="50">
        <v>0</v>
      </c>
      <c r="R70" s="50">
        <v>0</v>
      </c>
      <c r="S70" s="50">
        <v>0</v>
      </c>
      <c r="T70" s="55">
        <f>SUM(P70:S70)</f>
        <v>0</v>
      </c>
      <c r="U70" s="50">
        <v>0</v>
      </c>
      <c r="V70" s="50">
        <v>0</v>
      </c>
      <c r="W70" s="50">
        <v>0</v>
      </c>
      <c r="X70" s="50">
        <v>0</v>
      </c>
      <c r="Y70" s="55">
        <f>SUM(U70:X70)</f>
        <v>0</v>
      </c>
    </row>
    <row r="71" spans="2:27" collapsed="1" x14ac:dyDescent="0.2">
      <c r="B71" s="197" t="s">
        <v>282</v>
      </c>
      <c r="C71" s="198">
        <f>SUM(C67:C70)</f>
        <v>-59</v>
      </c>
      <c r="D71" s="198">
        <f t="shared" ref="D71:O71" si="48">SUM(D67:D70)</f>
        <v>0</v>
      </c>
      <c r="E71" s="202">
        <f t="shared" si="48"/>
        <v>-59</v>
      </c>
      <c r="F71" s="198">
        <f t="shared" si="48"/>
        <v>-69</v>
      </c>
      <c r="G71" s="198">
        <f t="shared" si="48"/>
        <v>-652</v>
      </c>
      <c r="H71" s="198">
        <f t="shared" si="48"/>
        <v>-305</v>
      </c>
      <c r="I71" s="198">
        <f t="shared" si="48"/>
        <v>-1105</v>
      </c>
      <c r="J71" s="202">
        <f t="shared" si="48"/>
        <v>-2131</v>
      </c>
      <c r="K71" s="198">
        <f t="shared" si="48"/>
        <v>-83</v>
      </c>
      <c r="L71" s="198">
        <f t="shared" si="48"/>
        <v>-20</v>
      </c>
      <c r="M71" s="198">
        <f t="shared" si="48"/>
        <v>0</v>
      </c>
      <c r="N71" s="198">
        <f t="shared" si="48"/>
        <v>0</v>
      </c>
      <c r="O71" s="204">
        <f t="shared" si="48"/>
        <v>-103</v>
      </c>
      <c r="P71" s="50">
        <f>SUM(P67:P70)</f>
        <v>0</v>
      </c>
      <c r="Q71" s="50">
        <f t="shared" ref="Q71:S71" si="49">SUM(Q67:Q70)</f>
        <v>0</v>
      </c>
      <c r="R71" s="50">
        <f t="shared" si="49"/>
        <v>0</v>
      </c>
      <c r="S71" s="50">
        <f t="shared" si="49"/>
        <v>0</v>
      </c>
      <c r="T71" s="55">
        <f>SUM(T67:T70)</f>
        <v>0</v>
      </c>
      <c r="U71" s="50">
        <f>SUM(U67:U70)</f>
        <v>0</v>
      </c>
      <c r="V71" s="50">
        <f t="shared" ref="V71:X71" si="50">SUM(V67:V70)</f>
        <v>0</v>
      </c>
      <c r="W71" s="50">
        <f t="shared" si="50"/>
        <v>0</v>
      </c>
      <c r="X71" s="50">
        <f t="shared" si="50"/>
        <v>0</v>
      </c>
      <c r="Y71" s="55">
        <f>SUM(Y67:Y70)</f>
        <v>0</v>
      </c>
    </row>
    <row r="72" spans="2:27" hidden="1" outlineLevel="1" x14ac:dyDescent="0.2">
      <c r="B72" s="199" t="s">
        <v>283</v>
      </c>
      <c r="C72" s="198">
        <v>0</v>
      </c>
      <c r="D72" s="198">
        <v>0</v>
      </c>
      <c r="E72" s="202">
        <v>-20</v>
      </c>
      <c r="F72" s="198">
        <v>0</v>
      </c>
      <c r="G72" s="198">
        <v>0</v>
      </c>
      <c r="H72" s="198">
        <v>0</v>
      </c>
      <c r="I72" s="198">
        <v>0</v>
      </c>
      <c r="J72" s="202">
        <v>0</v>
      </c>
      <c r="K72" s="198">
        <v>0</v>
      </c>
      <c r="L72" s="198">
        <v>0</v>
      </c>
      <c r="M72" s="198">
        <v>0</v>
      </c>
      <c r="N72" s="198">
        <v>0</v>
      </c>
      <c r="O72" s="204">
        <v>0</v>
      </c>
      <c r="P72" s="50">
        <v>0</v>
      </c>
      <c r="Q72" s="50">
        <v>0</v>
      </c>
      <c r="R72" s="50">
        <v>0</v>
      </c>
      <c r="S72" s="50">
        <v>0</v>
      </c>
      <c r="T72" s="55">
        <f>SUM(P72:S72)</f>
        <v>0</v>
      </c>
      <c r="U72" s="50">
        <v>0</v>
      </c>
      <c r="V72" s="50">
        <v>0</v>
      </c>
      <c r="W72" s="50">
        <v>0</v>
      </c>
      <c r="X72" s="50">
        <v>0</v>
      </c>
      <c r="Y72" s="55">
        <f>SUM(U72:X72)</f>
        <v>0</v>
      </c>
    </row>
    <row r="73" spans="2:27" hidden="1" outlineLevel="1" x14ac:dyDescent="0.2">
      <c r="B73" s="199" t="s">
        <v>284</v>
      </c>
      <c r="C73" s="198">
        <v>5</v>
      </c>
      <c r="D73" s="198">
        <v>-3</v>
      </c>
      <c r="E73" s="202">
        <v>3</v>
      </c>
      <c r="F73" s="198">
        <v>-8</v>
      </c>
      <c r="G73" s="198">
        <v>-4</v>
      </c>
      <c r="H73" s="198">
        <v>-20</v>
      </c>
      <c r="I73" s="198">
        <v>25</v>
      </c>
      <c r="J73" s="202">
        <v>-7</v>
      </c>
      <c r="K73" s="198">
        <v>0</v>
      </c>
      <c r="L73" s="198">
        <v>0</v>
      </c>
      <c r="M73" s="198">
        <v>9</v>
      </c>
      <c r="N73" s="198">
        <v>-4</v>
      </c>
      <c r="O73" s="204">
        <v>5</v>
      </c>
      <c r="P73" s="50">
        <v>0</v>
      </c>
      <c r="Q73" s="50">
        <v>0</v>
      </c>
      <c r="R73" s="50">
        <v>0</v>
      </c>
      <c r="S73" s="50">
        <v>0</v>
      </c>
      <c r="T73" s="55">
        <f>SUM(P73:S73)</f>
        <v>0</v>
      </c>
      <c r="U73" s="50">
        <v>0</v>
      </c>
      <c r="V73" s="50">
        <v>0</v>
      </c>
      <c r="W73" s="50">
        <v>0</v>
      </c>
      <c r="X73" s="50">
        <v>0</v>
      </c>
      <c r="Y73" s="55">
        <f>SUM(U73:X73)</f>
        <v>0</v>
      </c>
    </row>
    <row r="74" spans="2:27" collapsed="1" x14ac:dyDescent="0.2">
      <c r="B74" s="197" t="s">
        <v>285</v>
      </c>
      <c r="C74" s="196">
        <f>SUM(C72:C73)</f>
        <v>5</v>
      </c>
      <c r="D74" s="196">
        <f t="shared" ref="D74:O74" si="51">SUM(D72:D73)</f>
        <v>-3</v>
      </c>
      <c r="E74" s="186">
        <f t="shared" si="51"/>
        <v>-17</v>
      </c>
      <c r="F74" s="196">
        <f t="shared" si="51"/>
        <v>-8</v>
      </c>
      <c r="G74" s="196">
        <f t="shared" si="51"/>
        <v>-4</v>
      </c>
      <c r="H74" s="196">
        <f t="shared" si="51"/>
        <v>-20</v>
      </c>
      <c r="I74" s="196">
        <f t="shared" si="51"/>
        <v>25</v>
      </c>
      <c r="J74" s="186">
        <f t="shared" si="51"/>
        <v>-7</v>
      </c>
      <c r="K74" s="196">
        <f t="shared" si="51"/>
        <v>0</v>
      </c>
      <c r="L74" s="196">
        <f t="shared" si="51"/>
        <v>0</v>
      </c>
      <c r="M74" s="196">
        <f t="shared" si="51"/>
        <v>9</v>
      </c>
      <c r="N74" s="196">
        <f t="shared" si="51"/>
        <v>-4</v>
      </c>
      <c r="O74" s="205">
        <f t="shared" si="51"/>
        <v>5</v>
      </c>
      <c r="P74" s="50">
        <f>SUM(P72:P73)</f>
        <v>0</v>
      </c>
      <c r="Q74" s="50">
        <f t="shared" ref="Q74:S74" si="52">SUM(Q72:Q73)</f>
        <v>0</v>
      </c>
      <c r="R74" s="50">
        <f t="shared" si="52"/>
        <v>0</v>
      </c>
      <c r="S74" s="50">
        <f t="shared" si="52"/>
        <v>0</v>
      </c>
      <c r="T74" s="55">
        <f>SUM(T72:T73)</f>
        <v>0</v>
      </c>
      <c r="U74" s="50">
        <f>SUM(U72:U73)</f>
        <v>0</v>
      </c>
      <c r="V74" s="50">
        <f t="shared" ref="V74:X74" si="53">SUM(V72:V73)</f>
        <v>0</v>
      </c>
      <c r="W74" s="50">
        <f t="shared" si="53"/>
        <v>0</v>
      </c>
      <c r="X74" s="50">
        <f t="shared" si="53"/>
        <v>0</v>
      </c>
      <c r="Y74" s="55">
        <f>SUM(Y72:Y73)</f>
        <v>0</v>
      </c>
    </row>
    <row r="75" spans="2:27" x14ac:dyDescent="0.2">
      <c r="B75" s="207" t="s">
        <v>286</v>
      </c>
      <c r="C75" s="208">
        <v>-62</v>
      </c>
      <c r="D75" s="208">
        <v>-22</v>
      </c>
      <c r="E75" s="209">
        <v>-623</v>
      </c>
      <c r="F75" s="208">
        <v>-259</v>
      </c>
      <c r="G75" s="208">
        <v>-656</v>
      </c>
      <c r="H75" s="208">
        <v>-325</v>
      </c>
      <c r="I75" s="208">
        <v>-723</v>
      </c>
      <c r="J75" s="209">
        <v>-1963</v>
      </c>
      <c r="K75" s="208">
        <v>-96</v>
      </c>
      <c r="L75" s="208">
        <v>45</v>
      </c>
      <c r="M75" s="208">
        <v>-85</v>
      </c>
      <c r="N75" s="208">
        <v>3822</v>
      </c>
      <c r="O75" s="210">
        <v>3686</v>
      </c>
      <c r="P75" s="51">
        <f>P55+P59+P66+P71+P74</f>
        <v>0</v>
      </c>
      <c r="Q75" s="51">
        <f t="shared" ref="Q75:S75" si="54">Q55+Q59+Q66+Q71+Q74</f>
        <v>0</v>
      </c>
      <c r="R75" s="51">
        <f t="shared" si="54"/>
        <v>0</v>
      </c>
      <c r="S75" s="51">
        <f t="shared" si="54"/>
        <v>0</v>
      </c>
      <c r="T75" s="56">
        <f>T55+T59+T66+T71+T74</f>
        <v>0</v>
      </c>
      <c r="U75" s="51">
        <f>U55+U59+U66+U71+U74</f>
        <v>0</v>
      </c>
      <c r="V75" s="51">
        <f t="shared" ref="V75:X75" si="55">V55+V59+V66+V71+V74</f>
        <v>0</v>
      </c>
      <c r="W75" s="51">
        <f t="shared" si="55"/>
        <v>0</v>
      </c>
      <c r="X75" s="51">
        <f t="shared" si="55"/>
        <v>0</v>
      </c>
      <c r="Y75" s="56">
        <f>Y55+Y59+Y66+Y71+Y74</f>
        <v>0</v>
      </c>
      <c r="AA75" s="154" t="s">
        <v>287</v>
      </c>
    </row>
    <row r="76" spans="2:27" x14ac:dyDescent="0.2">
      <c r="E76" s="22"/>
      <c r="J76" s="22"/>
      <c r="O76" s="30"/>
      <c r="P76" s="50"/>
      <c r="Q76" s="50"/>
      <c r="R76" s="50"/>
      <c r="S76" s="50"/>
      <c r="T76" s="55"/>
      <c r="U76" s="50"/>
      <c r="V76" s="50"/>
      <c r="W76" s="50"/>
      <c r="X76" s="50"/>
      <c r="Y76" s="55"/>
    </row>
    <row r="77" spans="2:27" x14ac:dyDescent="0.2">
      <c r="B77" s="35" t="s">
        <v>288</v>
      </c>
      <c r="C77" s="51">
        <f>C34+C49+C75</f>
        <v>49</v>
      </c>
      <c r="D77" s="51">
        <f t="shared" ref="D77:O77" si="56">D34+D49+D75</f>
        <v>137</v>
      </c>
      <c r="E77" s="56">
        <f t="shared" si="56"/>
        <v>-87</v>
      </c>
      <c r="F77" s="51">
        <f t="shared" si="56"/>
        <v>179</v>
      </c>
      <c r="G77" s="51">
        <f t="shared" si="56"/>
        <v>35</v>
      </c>
      <c r="H77" s="51">
        <f t="shared" si="56"/>
        <v>17</v>
      </c>
      <c r="I77" s="51">
        <f t="shared" si="56"/>
        <v>-767</v>
      </c>
      <c r="J77" s="56">
        <f t="shared" si="56"/>
        <v>-536</v>
      </c>
      <c r="K77" s="51">
        <f t="shared" si="56"/>
        <v>-45</v>
      </c>
      <c r="L77" s="51">
        <f t="shared" si="56"/>
        <v>-185</v>
      </c>
      <c r="M77" s="51">
        <f t="shared" si="56"/>
        <v>362</v>
      </c>
      <c r="N77" s="51">
        <f t="shared" si="56"/>
        <v>255</v>
      </c>
      <c r="O77" s="58">
        <f t="shared" si="56"/>
        <v>387</v>
      </c>
      <c r="P77" s="51">
        <f>P34+P49+P75</f>
        <v>-142.59699172136987</v>
      </c>
      <c r="Q77" s="51">
        <f t="shared" ref="Q77:S77" si="57">Q34+Q49+Q75</f>
        <v>550.82265856360834</v>
      </c>
      <c r="R77" s="51">
        <f t="shared" si="57"/>
        <v>257.08582578956725</v>
      </c>
      <c r="S77" s="51">
        <f t="shared" si="57"/>
        <v>463.38098026425234</v>
      </c>
      <c r="T77" s="56">
        <f>T34+T49+T75</f>
        <v>1128.6924728960573</v>
      </c>
      <c r="U77" s="51">
        <f>U34+U49+U75</f>
        <v>482.66467745489274</v>
      </c>
      <c r="V77" s="51">
        <f t="shared" ref="V77:X77" si="58">V34+V49+V75</f>
        <v>629.28685047769613</v>
      </c>
      <c r="W77" s="51">
        <f t="shared" si="58"/>
        <v>644.4128020505218</v>
      </c>
      <c r="X77" s="51">
        <f t="shared" si="58"/>
        <v>409.7954431883669</v>
      </c>
      <c r="Y77" s="56">
        <f>Y34+Y49+Y75</f>
        <v>2166.1597731714769</v>
      </c>
    </row>
    <row r="78" spans="2:27" x14ac:dyDescent="0.2">
      <c r="Y78" s="1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A2D6-92C7-3B48-8A9E-66F0DA12E9F5}">
  <dimension ref="A1:Z70"/>
  <sheetViews>
    <sheetView showGridLines="0" zoomScale="75" workbookViewId="0">
      <selection activeCell="O30" sqref="O30"/>
    </sheetView>
  </sheetViews>
  <sheetFormatPr baseColWidth="10" defaultColWidth="10.83203125" defaultRowHeight="16" x14ac:dyDescent="0.2"/>
  <cols>
    <col min="1" max="1" width="1.83203125" style="8" customWidth="1"/>
    <col min="2" max="2" width="36" style="8" customWidth="1"/>
    <col min="3" max="16384" width="10.83203125" style="8"/>
  </cols>
  <sheetData>
    <row r="1" spans="1:25" ht="10" customHeight="1" x14ac:dyDescent="0.2">
      <c r="A1" s="300"/>
      <c r="B1" s="376"/>
      <c r="C1" s="376"/>
      <c r="D1" s="376"/>
      <c r="E1" s="376"/>
      <c r="F1" s="376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25" x14ac:dyDescent="0.2">
      <c r="A2" s="300"/>
      <c r="B2" s="301"/>
      <c r="C2" s="301"/>
      <c r="D2" s="301" t="s">
        <v>289</v>
      </c>
      <c r="E2" s="301" t="s">
        <v>84</v>
      </c>
      <c r="F2" s="301" t="s">
        <v>85</v>
      </c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x14ac:dyDescent="0.2">
      <c r="A3" s="300"/>
      <c r="B3" s="302" t="s">
        <v>290</v>
      </c>
      <c r="C3" s="302"/>
      <c r="D3" s="302"/>
      <c r="E3" s="302"/>
      <c r="F3" s="302"/>
      <c r="G3" s="81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5" x14ac:dyDescent="0.2">
      <c r="A4" s="300"/>
      <c r="B4" s="84"/>
      <c r="C4" s="84"/>
      <c r="D4" s="84"/>
      <c r="E4" s="84"/>
      <c r="F4" s="84"/>
      <c r="G4" s="81"/>
      <c r="H4" s="84"/>
      <c r="I4" s="268" t="s">
        <v>291</v>
      </c>
      <c r="J4" s="303"/>
      <c r="K4" s="268"/>
      <c r="L4" s="268"/>
      <c r="M4" s="303">
        <v>347.74</v>
      </c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</row>
    <row r="5" spans="1:25" x14ac:dyDescent="0.2">
      <c r="A5" s="300"/>
      <c r="B5" s="84" t="s">
        <v>292</v>
      </c>
      <c r="C5" s="84"/>
      <c r="D5" s="81">
        <v>0</v>
      </c>
      <c r="E5" s="81">
        <v>1</v>
      </c>
      <c r="F5" s="81">
        <v>2</v>
      </c>
      <c r="G5" s="81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</row>
    <row r="6" spans="1:25" x14ac:dyDescent="0.2">
      <c r="A6" s="300"/>
      <c r="B6" s="84"/>
      <c r="C6" s="84"/>
      <c r="D6" s="84"/>
      <c r="E6" s="304"/>
      <c r="F6" s="304"/>
      <c r="G6" s="81"/>
      <c r="H6" s="84"/>
      <c r="I6" s="395" t="s">
        <v>293</v>
      </c>
      <c r="J6" s="395"/>
      <c r="K6" s="395"/>
      <c r="L6" s="395"/>
      <c r="M6" s="395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x14ac:dyDescent="0.2">
      <c r="A7" s="300"/>
      <c r="B7" s="268" t="s">
        <v>183</v>
      </c>
      <c r="C7" s="84"/>
      <c r="D7" s="305">
        <f>'Income Statement'!O7</f>
        <v>2581</v>
      </c>
      <c r="E7" s="305">
        <f>'Income Statement'!T7</f>
        <v>3362.4435071999997</v>
      </c>
      <c r="F7" s="305">
        <f>'Income Statement'!Y7</f>
        <v>3929.7119598079998</v>
      </c>
      <c r="G7" s="81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</row>
    <row r="8" spans="1:25" x14ac:dyDescent="0.2">
      <c r="A8" s="300"/>
      <c r="B8" s="127" t="s">
        <v>294</v>
      </c>
      <c r="C8" s="84"/>
      <c r="D8" s="84"/>
      <c r="E8" s="306">
        <f>E7/D7-1</f>
        <v>0.30276772847733424</v>
      </c>
      <c r="F8" s="306">
        <f>F7/E7-1</f>
        <v>0.1687072069443869</v>
      </c>
      <c r="G8" s="81"/>
      <c r="H8" s="84"/>
      <c r="I8" s="84" t="s">
        <v>295</v>
      </c>
      <c r="J8" s="84"/>
      <c r="K8" s="84"/>
      <c r="L8" s="84"/>
      <c r="M8" s="307">
        <v>0.02</v>
      </c>
      <c r="N8" s="84"/>
      <c r="O8" s="84"/>
      <c r="P8" s="84"/>
      <c r="Q8" s="84"/>
      <c r="R8" s="308" t="s">
        <v>296</v>
      </c>
      <c r="S8" s="84"/>
      <c r="T8" s="84"/>
      <c r="U8" s="84"/>
      <c r="V8" s="309" t="s">
        <v>297</v>
      </c>
      <c r="W8" s="308" t="s">
        <v>298</v>
      </c>
      <c r="X8" s="309" t="s">
        <v>299</v>
      </c>
      <c r="Y8" s="84"/>
    </row>
    <row r="9" spans="1:25" x14ac:dyDescent="0.2">
      <c r="A9" s="300"/>
      <c r="B9" s="127" t="s">
        <v>300</v>
      </c>
      <c r="C9" s="84"/>
      <c r="D9" s="84"/>
      <c r="E9" s="269">
        <f>E7-D7</f>
        <v>781.44350719999966</v>
      </c>
      <c r="F9" s="269">
        <f>F7-E7</f>
        <v>567.26845260800019</v>
      </c>
      <c r="G9" s="81"/>
      <c r="H9" s="84"/>
      <c r="I9" s="84" t="s">
        <v>301</v>
      </c>
      <c r="J9" s="84"/>
      <c r="K9" s="84"/>
      <c r="L9" s="84"/>
      <c r="M9" s="310">
        <f>'Income Statement'!Y57</f>
        <v>1863.4439493746283</v>
      </c>
      <c r="N9" s="84"/>
      <c r="O9" s="84" t="s">
        <v>13</v>
      </c>
      <c r="P9" s="84"/>
      <c r="Q9" s="311">
        <f>M4*M24</f>
        <v>16736.034699285421</v>
      </c>
      <c r="R9" s="312">
        <f>Q9/SUM(Q9:Q10)</f>
        <v>0.72930143773081202</v>
      </c>
      <c r="S9" s="84"/>
      <c r="T9" s="84" t="s">
        <v>302</v>
      </c>
      <c r="U9" s="84"/>
      <c r="V9" s="313">
        <v>0.05</v>
      </c>
      <c r="W9" s="314">
        <f>Q10</f>
        <v>6212</v>
      </c>
      <c r="X9" s="315">
        <v>0.94</v>
      </c>
      <c r="Y9" s="84" t="s">
        <v>303</v>
      </c>
    </row>
    <row r="10" spans="1:25" x14ac:dyDescent="0.2">
      <c r="A10" s="300"/>
      <c r="B10" s="84"/>
      <c r="C10" s="84"/>
      <c r="D10" s="304"/>
      <c r="E10" s="304"/>
      <c r="F10" s="304"/>
      <c r="G10" s="81"/>
      <c r="H10" s="84"/>
      <c r="I10" s="84" t="s">
        <v>304</v>
      </c>
      <c r="J10" s="84"/>
      <c r="K10" s="84"/>
      <c r="L10" s="84"/>
      <c r="M10" s="364">
        <f>'Public Comps'!D26</f>
        <v>13.98</v>
      </c>
      <c r="N10" s="84"/>
      <c r="O10" s="84" t="s">
        <v>305</v>
      </c>
      <c r="P10" s="84"/>
      <c r="Q10" s="311">
        <f>M22</f>
        <v>6212</v>
      </c>
      <c r="R10" s="312">
        <f>Q10/SUM(Q9:Q10)</f>
        <v>0.27069856226918793</v>
      </c>
      <c r="S10" s="84"/>
      <c r="T10" s="316" t="s">
        <v>306</v>
      </c>
      <c r="U10" s="316"/>
      <c r="V10" s="317">
        <f>SUMPRODUCT(V9,X9)</f>
        <v>4.7E-2</v>
      </c>
      <c r="W10" s="314"/>
      <c r="X10" s="315"/>
      <c r="Y10" s="84"/>
    </row>
    <row r="11" spans="1:25" x14ac:dyDescent="0.2">
      <c r="A11" s="300"/>
      <c r="B11" s="268" t="s">
        <v>307</v>
      </c>
      <c r="C11" s="84"/>
      <c r="D11" s="318">
        <f>'Income Statement'!O54</f>
        <v>-90</v>
      </c>
      <c r="E11" s="318">
        <f>'Income Statement'!T54</f>
        <v>971.3957197800371</v>
      </c>
      <c r="F11" s="318">
        <f>'Income Statement'!Y54</f>
        <v>1455.7470893121849</v>
      </c>
      <c r="G11" s="81"/>
      <c r="H11" s="84"/>
      <c r="I11" s="84" t="s">
        <v>308</v>
      </c>
      <c r="J11" s="84"/>
      <c r="K11" s="84"/>
      <c r="L11" s="84"/>
      <c r="M11" s="319">
        <f>F18</f>
        <v>0.21</v>
      </c>
      <c r="N11" s="84"/>
      <c r="O11" s="320" t="s">
        <v>309</v>
      </c>
      <c r="P11" s="84"/>
      <c r="Q11" s="368">
        <f>(R9*Q16)+(R10*V11)</f>
        <v>0.1000708795383452</v>
      </c>
      <c r="R11" s="84"/>
      <c r="S11" s="84"/>
      <c r="T11" s="268" t="s">
        <v>310</v>
      </c>
      <c r="U11" s="84"/>
      <c r="V11" s="321">
        <f>V10*(1-M11)</f>
        <v>3.7130000000000003E-2</v>
      </c>
      <c r="W11" s="314"/>
      <c r="X11" s="315"/>
      <c r="Y11" s="84"/>
    </row>
    <row r="12" spans="1:25" x14ac:dyDescent="0.2">
      <c r="A12" s="300"/>
      <c r="B12" s="127" t="s">
        <v>294</v>
      </c>
      <c r="C12" s="84"/>
      <c r="D12" s="84"/>
      <c r="E12" s="306">
        <f>E11/D11-1</f>
        <v>-11.793285775333745</v>
      </c>
      <c r="F12" s="306">
        <f>F11/E11-1</f>
        <v>0.49861386010824127</v>
      </c>
      <c r="G12" s="81"/>
      <c r="H12" s="84"/>
      <c r="I12" s="84" t="s">
        <v>309</v>
      </c>
      <c r="J12" s="84"/>
      <c r="K12" s="84"/>
      <c r="L12" s="84"/>
      <c r="M12" s="315">
        <f>Q11</f>
        <v>0.1000708795383452</v>
      </c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</row>
    <row r="13" spans="1:25" x14ac:dyDescent="0.2">
      <c r="A13" s="300"/>
      <c r="B13" s="127" t="s">
        <v>300</v>
      </c>
      <c r="C13" s="84"/>
      <c r="D13" s="306"/>
      <c r="E13" s="322">
        <f>E11-D11</f>
        <v>1061.3957197800371</v>
      </c>
      <c r="F13" s="322">
        <f>F11-E11</f>
        <v>484.35136953214783</v>
      </c>
      <c r="G13" s="81"/>
      <c r="H13" s="84"/>
      <c r="I13" s="84"/>
      <c r="J13" s="84"/>
      <c r="K13" s="84"/>
      <c r="L13" s="84"/>
      <c r="M13" s="84"/>
      <c r="N13" s="84"/>
      <c r="O13" s="84" t="s">
        <v>311</v>
      </c>
      <c r="P13" s="84"/>
      <c r="Q13" s="323">
        <f>'DCF Assumptions'!G26</f>
        <v>1.4582358041436287</v>
      </c>
      <c r="R13" s="84"/>
      <c r="S13" s="84"/>
      <c r="T13" s="84"/>
      <c r="U13" s="84"/>
      <c r="V13" s="84"/>
      <c r="W13" s="84"/>
      <c r="X13" s="84"/>
      <c r="Y13" s="84" t="s">
        <v>312</v>
      </c>
    </row>
    <row r="14" spans="1:25" x14ac:dyDescent="0.2">
      <c r="A14" s="300"/>
      <c r="B14" s="127" t="s">
        <v>313</v>
      </c>
      <c r="C14" s="84"/>
      <c r="D14" s="306">
        <f>D11/D7</f>
        <v>-3.487020534676482E-2</v>
      </c>
      <c r="E14" s="306">
        <f t="shared" ref="E14:F14" si="0">E11/E7</f>
        <v>0.28889577407025208</v>
      </c>
      <c r="F14" s="306">
        <f t="shared" si="0"/>
        <v>0.37044625769042644</v>
      </c>
      <c r="G14" s="81"/>
      <c r="H14" s="84"/>
      <c r="I14" s="395" t="s">
        <v>314</v>
      </c>
      <c r="J14" s="395"/>
      <c r="K14" s="395"/>
      <c r="L14" s="395"/>
      <c r="M14" s="395"/>
      <c r="N14" s="84"/>
      <c r="O14" s="84" t="s">
        <v>315</v>
      </c>
      <c r="P14" s="84"/>
      <c r="Q14" s="366">
        <v>5.5E-2</v>
      </c>
      <c r="R14" s="84"/>
      <c r="S14" s="84"/>
      <c r="T14" s="84"/>
      <c r="U14" s="84"/>
      <c r="V14" s="84"/>
      <c r="W14" s="84"/>
      <c r="X14" s="84"/>
      <c r="Y14" s="84"/>
    </row>
    <row r="15" spans="1:25" x14ac:dyDescent="0.2">
      <c r="A15" s="300"/>
      <c r="B15" s="324" t="s">
        <v>316</v>
      </c>
      <c r="C15" s="84"/>
      <c r="D15" s="84"/>
      <c r="E15" s="325">
        <f>(E14-D14)*1000</f>
        <v>323.76597941701692</v>
      </c>
      <c r="F15" s="325">
        <f>(F14-E14)*1000</f>
        <v>81.550483620174361</v>
      </c>
      <c r="G15" s="81"/>
      <c r="H15" s="84"/>
      <c r="I15" s="84"/>
      <c r="J15" s="84"/>
      <c r="K15" s="84"/>
      <c r="L15" s="84"/>
      <c r="M15" s="84"/>
      <c r="N15" s="84"/>
      <c r="O15" s="84" t="s">
        <v>317</v>
      </c>
      <c r="P15" s="84"/>
      <c r="Q15" s="366">
        <v>4.3229999999999998E-2</v>
      </c>
      <c r="R15" s="84"/>
      <c r="S15" s="84"/>
      <c r="T15" s="84"/>
      <c r="U15" s="84"/>
      <c r="V15" s="84"/>
      <c r="W15" s="84"/>
      <c r="X15" s="84"/>
      <c r="Y15" s="84"/>
    </row>
    <row r="16" spans="1:25" x14ac:dyDescent="0.2">
      <c r="A16" s="300"/>
      <c r="B16" s="127" t="s">
        <v>318</v>
      </c>
      <c r="C16" s="84"/>
      <c r="D16" s="84"/>
      <c r="E16" s="306">
        <f>(E11-D11)/(E7-D7)</f>
        <v>1.3582500974166871</v>
      </c>
      <c r="F16" s="306">
        <f>(F11-E11)/(F7-E7)</f>
        <v>0.85383096363874378</v>
      </c>
      <c r="G16" s="81"/>
      <c r="H16" s="84"/>
      <c r="I16" s="326" t="s">
        <v>319</v>
      </c>
      <c r="J16" s="84"/>
      <c r="K16" s="84"/>
      <c r="L16" s="84"/>
      <c r="M16" s="327">
        <f>SUM(D36:F36)</f>
        <v>1204.0219096530973</v>
      </c>
      <c r="N16" s="84"/>
      <c r="O16" s="328" t="s">
        <v>320</v>
      </c>
      <c r="P16" s="328"/>
      <c r="Q16" s="367">
        <f>Q15+(Q13*Q14)</f>
        <v>0.12343296922789959</v>
      </c>
      <c r="R16" s="84"/>
      <c r="S16" s="84"/>
      <c r="T16" s="84"/>
      <c r="U16" s="84"/>
      <c r="V16" s="84"/>
      <c r="W16" s="84"/>
      <c r="X16" s="84"/>
      <c r="Y16" s="84"/>
    </row>
    <row r="17" spans="1:25" x14ac:dyDescent="0.2">
      <c r="A17" s="300"/>
      <c r="B17" s="84"/>
      <c r="C17" s="84"/>
      <c r="D17" s="84"/>
      <c r="E17" s="329"/>
      <c r="F17" s="329"/>
      <c r="G17" s="81"/>
      <c r="H17" s="84"/>
      <c r="I17" s="330" t="s">
        <v>321</v>
      </c>
      <c r="J17" s="84"/>
      <c r="K17" s="84"/>
      <c r="L17" s="84"/>
      <c r="M17" s="327">
        <f>M9*M10</f>
        <v>26050.946412257304</v>
      </c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</row>
    <row r="18" spans="1:25" x14ac:dyDescent="0.2">
      <c r="A18" s="300"/>
      <c r="B18" s="127" t="s">
        <v>322</v>
      </c>
      <c r="C18" s="84"/>
      <c r="D18" s="329">
        <f>'Income Statement'!O35/'Income Statement'!O54</f>
        <v>-0.58888888888888891</v>
      </c>
      <c r="E18" s="329">
        <f>'Income Statement'!T35/'Income Statement'!T54</f>
        <v>3.0883397352001098E-2</v>
      </c>
      <c r="F18" s="329">
        <v>0.21</v>
      </c>
      <c r="G18" s="81"/>
      <c r="H18" s="84"/>
      <c r="I18" s="331" t="s">
        <v>323</v>
      </c>
      <c r="J18" s="316"/>
      <c r="K18" s="316"/>
      <c r="L18" s="316"/>
      <c r="M18" s="332">
        <f>M17/F34</f>
        <v>21526.933472788074</v>
      </c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</row>
    <row r="19" spans="1:25" x14ac:dyDescent="0.2">
      <c r="A19" s="300"/>
      <c r="B19" s="84"/>
      <c r="C19" s="84"/>
      <c r="D19" s="84"/>
      <c r="E19" s="333"/>
      <c r="F19" s="333"/>
      <c r="G19" s="81"/>
      <c r="H19" s="84"/>
      <c r="I19" s="81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</row>
    <row r="20" spans="1:25" x14ac:dyDescent="0.2">
      <c r="A20" s="300"/>
      <c r="B20" s="268" t="s">
        <v>324</v>
      </c>
      <c r="C20" s="84"/>
      <c r="D20" s="334">
        <f>D11*(1-D18)</f>
        <v>-143</v>
      </c>
      <c r="E20" s="334">
        <f t="shared" ref="E20:F20" si="1">E11*(1-E18)</f>
        <v>941.3957197800371</v>
      </c>
      <c r="F20" s="334">
        <f t="shared" si="1"/>
        <v>1150.0402005566261</v>
      </c>
      <c r="G20" s="81"/>
      <c r="H20" s="84"/>
      <c r="I20" s="326" t="s">
        <v>325</v>
      </c>
      <c r="J20" s="84"/>
      <c r="K20" s="84"/>
      <c r="L20" s="84"/>
      <c r="M20" s="327">
        <f>M16+M18</f>
        <v>22730.955382441171</v>
      </c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</row>
    <row r="21" spans="1:25" x14ac:dyDescent="0.2">
      <c r="A21" s="300"/>
      <c r="B21" s="330" t="s">
        <v>326</v>
      </c>
      <c r="C21" s="84"/>
      <c r="D21" s="335">
        <f>'Cash Flow Statement'!O38*-1</f>
        <v>98</v>
      </c>
      <c r="E21" s="335">
        <f>'Cash Flow Statement'!T38*-1</f>
        <v>119.89729993745613</v>
      </c>
      <c r="F21" s="335">
        <f>'Cash Flow Statement'!Y38*-1</f>
        <v>140.12483853007774</v>
      </c>
      <c r="G21" s="81"/>
      <c r="H21" s="84"/>
      <c r="I21" s="330" t="s">
        <v>327</v>
      </c>
      <c r="J21" s="84"/>
      <c r="K21" s="84"/>
      <c r="L21" s="84"/>
      <c r="M21" s="327">
        <f>'Balance Sheet'!Y8+'Balance Sheet'!Y9</f>
        <v>4046.8522460675354</v>
      </c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</row>
    <row r="22" spans="1:25" x14ac:dyDescent="0.2">
      <c r="A22" s="300"/>
      <c r="B22" s="336" t="s">
        <v>328</v>
      </c>
      <c r="C22" s="84"/>
      <c r="D22" s="306">
        <f>D21/D7</f>
        <v>3.7969779155366139E-2</v>
      </c>
      <c r="E22" s="306">
        <f t="shared" ref="E22:F22" si="2">E21/E7</f>
        <v>3.5657788653019766E-2</v>
      </c>
      <c r="F22" s="306">
        <f t="shared" si="2"/>
        <v>3.5657788653019759E-2</v>
      </c>
      <c r="G22" s="81"/>
      <c r="H22" s="84"/>
      <c r="I22" s="330" t="s">
        <v>329</v>
      </c>
      <c r="J22" s="84"/>
      <c r="K22" s="84"/>
      <c r="L22" s="84"/>
      <c r="M22" s="327">
        <f>'Balance Sheet'!Y39</f>
        <v>6212</v>
      </c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</row>
    <row r="23" spans="1:25" x14ac:dyDescent="0.2">
      <c r="A23" s="300"/>
      <c r="B23" s="84"/>
      <c r="C23" s="84"/>
      <c r="D23" s="84"/>
      <c r="E23" s="337"/>
      <c r="F23" s="337"/>
      <c r="G23" s="81"/>
      <c r="H23" s="84"/>
      <c r="I23" s="331" t="s">
        <v>330</v>
      </c>
      <c r="J23" s="316"/>
      <c r="K23" s="316"/>
      <c r="L23" s="316"/>
      <c r="M23" s="332">
        <f>M20+M21-M22</f>
        <v>20565.807628508705</v>
      </c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</row>
    <row r="24" spans="1:25" x14ac:dyDescent="0.2">
      <c r="A24" s="300"/>
      <c r="B24" s="330" t="s">
        <v>331</v>
      </c>
      <c r="C24" s="84"/>
      <c r="D24" s="335">
        <f>'Cash Flow Statement'!O12+'Cash Flow Statement'!O13</f>
        <v>221</v>
      </c>
      <c r="E24" s="335">
        <f>('Cash Flow Statement'!T12)*-1-'Cash Flow Statement'!T13</f>
        <v>241.17537864964544</v>
      </c>
      <c r="F24" s="335">
        <f>('Cash Flow Statement'!Y12*-1)-'Cash Flow Statement'!Y13</f>
        <v>274.88193666390544</v>
      </c>
      <c r="G24" s="81"/>
      <c r="H24" s="84"/>
      <c r="I24" s="326" t="s">
        <v>17</v>
      </c>
      <c r="J24" s="84"/>
      <c r="K24" s="84"/>
      <c r="L24" s="84"/>
      <c r="M24" s="338">
        <f>'Public Comps'!D32</f>
        <v>48.128011443277799</v>
      </c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</row>
    <row r="25" spans="1:25" x14ac:dyDescent="0.2">
      <c r="A25" s="300"/>
      <c r="B25" s="336" t="s">
        <v>328</v>
      </c>
      <c r="C25" s="84"/>
      <c r="D25" s="306">
        <f>D24/D7</f>
        <v>8.5625726462611393E-2</v>
      </c>
      <c r="E25" s="306">
        <f t="shared" ref="E25:F25" si="3">E24/E7</f>
        <v>7.1726224733059951E-2</v>
      </c>
      <c r="F25" s="306">
        <f t="shared" si="3"/>
        <v>6.9949639941889227E-2</v>
      </c>
      <c r="G25" s="81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</row>
    <row r="26" spans="1:25" x14ac:dyDescent="0.2">
      <c r="A26" s="300"/>
      <c r="B26" s="336" t="s">
        <v>332</v>
      </c>
      <c r="C26" s="84"/>
      <c r="D26" s="306">
        <f>D24/D21</f>
        <v>2.2551020408163267</v>
      </c>
      <c r="E26" s="306">
        <f t="shared" ref="E26:F26" si="4">E24/E21</f>
        <v>2.0115163458681176</v>
      </c>
      <c r="F26" s="306">
        <f t="shared" si="4"/>
        <v>1.9616931555278985</v>
      </c>
      <c r="G26" s="81"/>
      <c r="H26" s="84"/>
      <c r="I26" s="326" t="s">
        <v>333</v>
      </c>
      <c r="J26" s="84"/>
      <c r="K26" s="84"/>
      <c r="L26" s="84"/>
      <c r="M26" s="339">
        <f>M23/M24</f>
        <v>427.31471780725735</v>
      </c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</row>
    <row r="27" spans="1:25" x14ac:dyDescent="0.2">
      <c r="A27" s="300"/>
      <c r="B27" s="84"/>
      <c r="C27" s="84"/>
      <c r="D27" s="84"/>
      <c r="E27" s="84"/>
      <c r="F27" s="84"/>
      <c r="G27" s="81"/>
      <c r="H27" s="84"/>
      <c r="I27" s="326" t="s">
        <v>334</v>
      </c>
      <c r="J27" s="84"/>
      <c r="K27" s="84"/>
      <c r="L27" s="84"/>
      <c r="M27" s="339">
        <f>M4</f>
        <v>347.74</v>
      </c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</row>
    <row r="28" spans="1:25" x14ac:dyDescent="0.2">
      <c r="A28" s="300"/>
      <c r="B28" s="330" t="s">
        <v>335</v>
      </c>
      <c r="C28" s="84"/>
      <c r="D28" s="335">
        <f>SUM('Cash Flow Statement'!O26:O33)*-1</f>
        <v>143</v>
      </c>
      <c r="E28" s="335">
        <f>SUM('Cash Flow Statement'!T26:T33)*-1</f>
        <v>545.63316252602783</v>
      </c>
      <c r="F28" s="335">
        <f>SUM('Cash Flow Statement'!Y26:Y33)*-1</f>
        <v>199.26896176671346</v>
      </c>
      <c r="G28" s="81"/>
      <c r="H28" s="84"/>
      <c r="I28" s="127" t="s">
        <v>336</v>
      </c>
      <c r="J28" s="84"/>
      <c r="K28" s="84"/>
      <c r="L28" s="84"/>
      <c r="M28" s="369">
        <f>M26/M27-1</f>
        <v>0.22883395009851415</v>
      </c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</row>
    <row r="29" spans="1:25" x14ac:dyDescent="0.2">
      <c r="A29" s="300"/>
      <c r="B29" s="336" t="s">
        <v>328</v>
      </c>
      <c r="C29" s="84"/>
      <c r="D29" s="306">
        <f>D28/D7</f>
        <v>5.5404881828748545E-2</v>
      </c>
      <c r="E29" s="306">
        <f t="shared" ref="E29:F29" si="5">E28/E7</f>
        <v>0.16227281182796488</v>
      </c>
      <c r="F29" s="306">
        <f t="shared" si="5"/>
        <v>5.0708286969829069E-2</v>
      </c>
      <c r="G29" s="81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</row>
    <row r="30" spans="1:25" x14ac:dyDescent="0.2">
      <c r="A30" s="300"/>
      <c r="B30" s="84"/>
      <c r="C30" s="84"/>
      <c r="D30" s="84"/>
      <c r="E30" s="84"/>
      <c r="F30" s="84"/>
      <c r="G30" s="81"/>
      <c r="H30" s="84"/>
      <c r="I30" s="395" t="s">
        <v>337</v>
      </c>
      <c r="J30" s="395"/>
      <c r="K30" s="395"/>
      <c r="L30" s="395"/>
      <c r="M30" s="395"/>
      <c r="N30" s="84"/>
      <c r="O30" s="84" t="s">
        <v>338</v>
      </c>
      <c r="P30" s="84"/>
      <c r="Q30" s="84"/>
      <c r="R30" s="84"/>
      <c r="S30" s="84"/>
      <c r="T30" s="84"/>
      <c r="U30" s="84"/>
      <c r="V30" s="84"/>
      <c r="W30" s="84"/>
      <c r="X30" s="84"/>
      <c r="Y30" s="84"/>
    </row>
    <row r="31" spans="1:25" x14ac:dyDescent="0.2">
      <c r="A31" s="300"/>
      <c r="B31" s="268" t="s">
        <v>339</v>
      </c>
      <c r="C31" s="84"/>
      <c r="D31" s="340">
        <f>D20-D21+D24-D28</f>
        <v>-163</v>
      </c>
      <c r="E31" s="340">
        <f t="shared" ref="E31" si="6">E20-E21+E24-E28</f>
        <v>517.04063596619847</v>
      </c>
      <c r="F31" s="340">
        <f>F20-F21+F24-F28</f>
        <v>1085.5283369237404</v>
      </c>
      <c r="G31" s="81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</row>
    <row r="32" spans="1:25" x14ac:dyDescent="0.2">
      <c r="A32" s="300"/>
      <c r="B32" s="127" t="s">
        <v>294</v>
      </c>
      <c r="C32" s="84"/>
      <c r="D32" s="84"/>
      <c r="E32" s="306">
        <f>E31/D31-1</f>
        <v>-4.1720284415104203</v>
      </c>
      <c r="F32" s="306">
        <f>F31/E31-1</f>
        <v>1.099502943120136</v>
      </c>
      <c r="G32" s="81"/>
      <c r="H32" s="84"/>
      <c r="I32" s="326" t="s">
        <v>319</v>
      </c>
      <c r="J32" s="84"/>
      <c r="K32" s="84"/>
      <c r="L32" s="84"/>
      <c r="M32" s="327">
        <f>SUM(E36:F36)</f>
        <v>1367.0219096530973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</row>
    <row r="33" spans="1:25" x14ac:dyDescent="0.2">
      <c r="A33" s="300"/>
      <c r="B33" s="84"/>
      <c r="C33" s="84"/>
      <c r="D33" s="84"/>
      <c r="E33" s="84"/>
      <c r="F33" s="84"/>
      <c r="G33" s="81"/>
      <c r="H33" s="84"/>
      <c r="I33" s="330" t="s">
        <v>321</v>
      </c>
      <c r="J33" s="84"/>
      <c r="K33" s="84"/>
      <c r="L33" s="84"/>
      <c r="M33" s="327">
        <f>F31*(1+M8)/(Q11-M8)</f>
        <v>13828.234559756133</v>
      </c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</row>
    <row r="34" spans="1:25" x14ac:dyDescent="0.2">
      <c r="A34" s="300"/>
      <c r="B34" s="84" t="s">
        <v>340</v>
      </c>
      <c r="C34" s="84"/>
      <c r="D34" s="341">
        <f>(1+M12)^D5</f>
        <v>1</v>
      </c>
      <c r="E34" s="341">
        <f>(1+M12)^E5</f>
        <v>1.1000708795383451</v>
      </c>
      <c r="F34" s="341">
        <f>(1+M12)^F5</f>
        <v>1.2101559400082682</v>
      </c>
      <c r="G34" s="81"/>
      <c r="H34" s="84"/>
      <c r="I34" s="331" t="s">
        <v>323</v>
      </c>
      <c r="J34" s="316"/>
      <c r="K34" s="316"/>
      <c r="L34" s="316"/>
      <c r="M34" s="332">
        <f>M33/F34</f>
        <v>11426.820381232565</v>
      </c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</row>
    <row r="35" spans="1:25" x14ac:dyDescent="0.2">
      <c r="A35" s="300"/>
      <c r="B35" s="84"/>
      <c r="C35" s="84"/>
      <c r="D35" s="84"/>
      <c r="E35" s="84"/>
      <c r="F35" s="84"/>
      <c r="G35" s="81"/>
      <c r="H35" s="84"/>
      <c r="I35" s="81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</row>
    <row r="36" spans="1:25" x14ac:dyDescent="0.2">
      <c r="A36" s="300"/>
      <c r="B36" s="342" t="s">
        <v>341</v>
      </c>
      <c r="C36" s="343"/>
      <c r="D36" s="344">
        <f>D31/D34</f>
        <v>-163</v>
      </c>
      <c r="E36" s="344">
        <f>E31/E34</f>
        <v>470.00665646488096</v>
      </c>
      <c r="F36" s="344">
        <f>F31/F34</f>
        <v>897.01525318821621</v>
      </c>
      <c r="G36" s="81"/>
      <c r="H36" s="84"/>
      <c r="I36" s="326" t="s">
        <v>325</v>
      </c>
      <c r="J36" s="84"/>
      <c r="K36" s="84"/>
      <c r="L36" s="84"/>
      <c r="M36" s="327">
        <f>M32+M34</f>
        <v>12793.842290885663</v>
      </c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</row>
    <row r="37" spans="1:25" x14ac:dyDescent="0.2">
      <c r="A37" s="300"/>
      <c r="B37" s="84"/>
      <c r="C37" s="84"/>
      <c r="D37" s="84"/>
      <c r="E37" s="84"/>
      <c r="F37" s="84"/>
      <c r="G37" s="81"/>
      <c r="H37" s="84"/>
      <c r="I37" s="330" t="s">
        <v>327</v>
      </c>
      <c r="J37" s="84"/>
      <c r="K37" s="84"/>
      <c r="L37" s="84"/>
      <c r="M37" s="327">
        <f>M21</f>
        <v>4046.8522460675354</v>
      </c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</row>
    <row r="38" spans="1:25" x14ac:dyDescent="0.2">
      <c r="A38" s="300"/>
      <c r="B38" s="84"/>
      <c r="C38" s="84"/>
      <c r="D38" s="84"/>
      <c r="E38" s="84"/>
      <c r="F38" s="84"/>
      <c r="G38" s="81"/>
      <c r="H38" s="84"/>
      <c r="I38" s="330" t="s">
        <v>329</v>
      </c>
      <c r="J38" s="84"/>
      <c r="K38" s="84"/>
      <c r="L38" s="84"/>
      <c r="M38" s="327">
        <f>M22</f>
        <v>6212</v>
      </c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</row>
    <row r="39" spans="1:25" x14ac:dyDescent="0.2">
      <c r="A39" s="300"/>
      <c r="B39" s="84"/>
      <c r="C39" s="84"/>
      <c r="D39" s="84"/>
      <c r="E39" s="84"/>
      <c r="F39" s="84"/>
      <c r="G39" s="81"/>
      <c r="H39" s="84"/>
      <c r="I39" s="331" t="s">
        <v>330</v>
      </c>
      <c r="J39" s="316"/>
      <c r="K39" s="316"/>
      <c r="L39" s="316"/>
      <c r="M39" s="332">
        <f>M36+M37-M38</f>
        <v>10628.694536953197</v>
      </c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</row>
    <row r="40" spans="1:25" x14ac:dyDescent="0.2">
      <c r="A40" s="300"/>
      <c r="B40" s="84"/>
      <c r="C40" s="84"/>
      <c r="D40" s="84"/>
      <c r="E40" s="84"/>
      <c r="F40" s="84"/>
      <c r="G40" s="81"/>
      <c r="H40" s="84"/>
      <c r="I40" s="326" t="s">
        <v>17</v>
      </c>
      <c r="J40" s="84"/>
      <c r="K40" s="84"/>
      <c r="L40" s="84"/>
      <c r="M40" s="338">
        <f>M24</f>
        <v>48.128011443277799</v>
      </c>
      <c r="N40" s="84"/>
      <c r="Y40" s="84"/>
    </row>
    <row r="41" spans="1:25" x14ac:dyDescent="0.2">
      <c r="A41" s="300"/>
      <c r="B41" s="84"/>
      <c r="C41" s="84"/>
      <c r="D41" s="84"/>
      <c r="E41" s="84"/>
      <c r="F41" s="84"/>
      <c r="G41" s="81"/>
      <c r="H41" s="84"/>
      <c r="I41" s="84"/>
      <c r="J41" s="84"/>
      <c r="K41" s="84"/>
      <c r="L41" s="84"/>
      <c r="M41" s="84"/>
      <c r="N41" s="84"/>
      <c r="Y41" s="84"/>
    </row>
    <row r="42" spans="1:25" x14ac:dyDescent="0.2">
      <c r="A42" s="300"/>
      <c r="B42" s="84"/>
      <c r="C42" s="84"/>
      <c r="D42" s="84"/>
      <c r="E42" s="84"/>
      <c r="F42" s="84"/>
      <c r="G42" s="81"/>
      <c r="H42" s="84"/>
      <c r="I42" s="326" t="s">
        <v>333</v>
      </c>
      <c r="J42" s="84"/>
      <c r="K42" s="84"/>
      <c r="L42" s="84"/>
      <c r="M42" s="339">
        <f>M39/M40</f>
        <v>220.84217108117693</v>
      </c>
      <c r="N42" s="84"/>
      <c r="Y42" s="84"/>
    </row>
    <row r="43" spans="1:25" x14ac:dyDescent="0.2">
      <c r="A43" s="300"/>
      <c r="B43" s="84"/>
      <c r="C43" s="84"/>
      <c r="D43" s="84"/>
      <c r="E43" s="84"/>
      <c r="F43" s="84"/>
      <c r="G43" s="81"/>
      <c r="H43" s="84"/>
      <c r="I43" s="326" t="s">
        <v>334</v>
      </c>
      <c r="J43" s="84"/>
      <c r="K43" s="84"/>
      <c r="L43" s="84"/>
      <c r="M43" s="339">
        <f>M4</f>
        <v>347.74</v>
      </c>
      <c r="N43" s="84"/>
      <c r="Y43" s="84"/>
    </row>
    <row r="44" spans="1:25" x14ac:dyDescent="0.2">
      <c r="A44" s="300"/>
      <c r="B44" s="84"/>
      <c r="C44" s="84"/>
      <c r="D44" s="84"/>
      <c r="E44" s="84"/>
      <c r="F44" s="84"/>
      <c r="G44" s="81"/>
      <c r="H44" s="84"/>
      <c r="I44" s="127" t="s">
        <v>336</v>
      </c>
      <c r="J44" s="84"/>
      <c r="K44" s="84"/>
      <c r="L44" s="84"/>
      <c r="M44" s="373">
        <f>M42/M43-1</f>
        <v>-0.36492157623173371</v>
      </c>
      <c r="N44" s="84"/>
      <c r="Y44" s="84"/>
    </row>
    <row r="46" spans="1:25" x14ac:dyDescent="0.2">
      <c r="C46" s="370"/>
    </row>
    <row r="47" spans="1:25" x14ac:dyDescent="0.2">
      <c r="C47" s="370"/>
    </row>
    <row r="48" spans="1:25" x14ac:dyDescent="0.2">
      <c r="C48" s="371"/>
    </row>
    <row r="49" spans="3:26" x14ac:dyDescent="0.2">
      <c r="C49" s="50"/>
    </row>
    <row r="50" spans="3:26" x14ac:dyDescent="0.2">
      <c r="C50" s="370"/>
    </row>
    <row r="51" spans="3:26" x14ac:dyDescent="0.2">
      <c r="C51" s="370"/>
    </row>
    <row r="52" spans="3:26" x14ac:dyDescent="0.2">
      <c r="C52" s="372"/>
    </row>
    <row r="55" spans="3:26" x14ac:dyDescent="0.2"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</row>
    <row r="56" spans="3:26" x14ac:dyDescent="0.2"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</row>
    <row r="57" spans="3:26" x14ac:dyDescent="0.2"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</row>
    <row r="58" spans="3:26" x14ac:dyDescent="0.2">
      <c r="O58" s="377"/>
      <c r="P58" s="378"/>
      <c r="Q58" s="377"/>
      <c r="R58" s="377"/>
      <c r="S58" s="377"/>
      <c r="T58" s="377"/>
      <c r="U58" s="377"/>
      <c r="V58" s="377"/>
      <c r="W58" s="377"/>
      <c r="X58" s="377"/>
      <c r="Y58" s="377"/>
      <c r="Z58" s="154"/>
    </row>
    <row r="59" spans="3:26" x14ac:dyDescent="0.2">
      <c r="O59" s="377"/>
      <c r="P59" s="379"/>
      <c r="Q59" s="380"/>
      <c r="R59" s="380"/>
      <c r="S59" s="380"/>
      <c r="T59" s="380"/>
      <c r="U59" s="380"/>
      <c r="V59" s="380"/>
      <c r="W59" s="380"/>
      <c r="X59" s="380"/>
      <c r="Y59" s="380"/>
      <c r="Z59" s="154"/>
    </row>
    <row r="60" spans="3:26" x14ac:dyDescent="0.2">
      <c r="O60" s="377"/>
      <c r="P60" s="381"/>
      <c r="Q60" s="382"/>
      <c r="R60" s="382"/>
      <c r="S60" s="382"/>
      <c r="T60" s="382"/>
      <c r="U60" s="382"/>
      <c r="V60" s="382"/>
      <c r="W60" s="382"/>
      <c r="X60" s="382"/>
      <c r="Y60" s="382"/>
      <c r="Z60" s="154"/>
    </row>
    <row r="61" spans="3:26" x14ac:dyDescent="0.2">
      <c r="O61" s="377"/>
      <c r="P61" s="381"/>
      <c r="Q61" s="382"/>
      <c r="R61" s="382"/>
      <c r="S61" s="382"/>
      <c r="T61" s="382"/>
      <c r="U61" s="382"/>
      <c r="V61" s="382"/>
      <c r="W61" s="382"/>
      <c r="X61" s="382"/>
      <c r="Y61" s="382"/>
      <c r="Z61" s="154"/>
    </row>
    <row r="62" spans="3:26" x14ac:dyDescent="0.2">
      <c r="O62" s="377"/>
      <c r="P62" s="381"/>
      <c r="Q62" s="382"/>
      <c r="R62" s="382"/>
      <c r="S62" s="382"/>
      <c r="T62" s="382"/>
      <c r="U62" s="382"/>
      <c r="V62" s="382"/>
      <c r="W62" s="382"/>
      <c r="X62" s="382"/>
      <c r="Y62" s="382"/>
      <c r="Z62" s="154"/>
    </row>
    <row r="63" spans="3:26" x14ac:dyDescent="0.2">
      <c r="O63" s="377"/>
      <c r="P63" s="381"/>
      <c r="Q63" s="382"/>
      <c r="R63" s="382"/>
      <c r="S63" s="382"/>
      <c r="T63" s="382"/>
      <c r="U63" s="383"/>
      <c r="V63" s="382"/>
      <c r="W63" s="382"/>
      <c r="X63" s="382"/>
      <c r="Y63" s="382"/>
      <c r="Z63" s="154"/>
    </row>
    <row r="64" spans="3:26" x14ac:dyDescent="0.2">
      <c r="O64" s="377"/>
      <c r="P64" s="381"/>
      <c r="Q64" s="382"/>
      <c r="R64" s="382"/>
      <c r="S64" s="382"/>
      <c r="T64" s="382"/>
      <c r="U64" s="382"/>
      <c r="V64" s="382"/>
      <c r="W64" s="382"/>
      <c r="X64" s="382"/>
      <c r="Y64" s="382"/>
      <c r="Z64" s="154"/>
    </row>
    <row r="65" spans="15:26" x14ac:dyDescent="0.2">
      <c r="O65" s="377"/>
      <c r="P65" s="381"/>
      <c r="Q65" s="382"/>
      <c r="R65" s="382"/>
      <c r="S65" s="382"/>
      <c r="T65" s="382"/>
      <c r="U65" s="382"/>
      <c r="V65" s="382"/>
      <c r="W65" s="382"/>
      <c r="X65" s="382"/>
      <c r="Y65" s="382"/>
      <c r="Z65" s="154"/>
    </row>
    <row r="66" spans="15:26" x14ac:dyDescent="0.2">
      <c r="O66" s="377"/>
      <c r="P66" s="381"/>
      <c r="Q66" s="382"/>
      <c r="R66" s="382"/>
      <c r="S66" s="382"/>
      <c r="T66" s="382"/>
      <c r="U66" s="382"/>
      <c r="V66" s="382"/>
      <c r="W66" s="382"/>
      <c r="X66" s="382"/>
      <c r="Y66" s="382"/>
      <c r="Z66" s="154"/>
    </row>
    <row r="67" spans="15:26" x14ac:dyDescent="0.2">
      <c r="O67" s="377"/>
      <c r="P67" s="381"/>
      <c r="Q67" s="382"/>
      <c r="R67" s="382"/>
      <c r="S67" s="382"/>
      <c r="T67" s="382"/>
      <c r="U67" s="382"/>
      <c r="V67" s="382"/>
      <c r="W67" s="382"/>
      <c r="X67" s="382"/>
      <c r="Y67" s="382"/>
      <c r="Z67" s="154"/>
    </row>
    <row r="68" spans="15:26" x14ac:dyDescent="0.2"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154"/>
    </row>
    <row r="69" spans="15:26" x14ac:dyDescent="0.2">
      <c r="O69" s="377"/>
      <c r="P69" s="384"/>
      <c r="Q69" s="377"/>
      <c r="R69" s="377"/>
      <c r="S69" s="377"/>
      <c r="T69" s="377"/>
      <c r="U69" s="377"/>
      <c r="V69" s="377"/>
      <c r="W69" s="377"/>
      <c r="X69" s="377"/>
      <c r="Y69" s="377"/>
      <c r="Z69" s="154"/>
    </row>
    <row r="70" spans="15:26" x14ac:dyDescent="0.2"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154"/>
    </row>
  </sheetData>
  <mergeCells count="3">
    <mergeCell ref="I6:M6"/>
    <mergeCell ref="I14:M14"/>
    <mergeCell ref="I30:M30"/>
  </mergeCells>
  <conditionalFormatting sqref="Q60:Y67">
    <cfRule type="cellIs" dxfId="1" priority="1" operator="greaterThan">
      <formula>347.74</formula>
    </cfRule>
    <cfRule type="cellIs" dxfId="0" priority="2" operator="lessThan">
      <formula>347.74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00DD-C69D-3A42-A3A0-23D70035351E}">
  <dimension ref="B1:I26"/>
  <sheetViews>
    <sheetView showGridLines="0" topLeftCell="B1" workbookViewId="0">
      <selection activeCell="I18" sqref="I18"/>
    </sheetView>
  </sheetViews>
  <sheetFormatPr baseColWidth="10" defaultColWidth="10.83203125" defaultRowHeight="16" x14ac:dyDescent="0.2"/>
  <cols>
    <col min="1" max="1" width="1.83203125" style="8" customWidth="1"/>
    <col min="2" max="2" width="43.1640625" style="8" customWidth="1"/>
    <col min="3" max="7" width="20.83203125" style="8" customWidth="1"/>
    <col min="8" max="16384" width="10.83203125" style="8"/>
  </cols>
  <sheetData>
    <row r="1" spans="2:7" ht="10" customHeight="1" x14ac:dyDescent="0.2"/>
    <row r="2" spans="2:7" x14ac:dyDescent="0.2">
      <c r="B2" s="71" t="s">
        <v>18</v>
      </c>
      <c r="C2" s="71"/>
      <c r="D2" s="71"/>
      <c r="E2" s="71"/>
      <c r="F2" s="71"/>
      <c r="G2" s="71"/>
    </row>
    <row r="3" spans="2:7" x14ac:dyDescent="0.2">
      <c r="B3" s="73" t="s">
        <v>342</v>
      </c>
      <c r="C3" s="45"/>
      <c r="D3" s="45"/>
      <c r="E3" s="45"/>
      <c r="F3" s="45"/>
      <c r="G3" s="45"/>
    </row>
    <row r="5" spans="2:7" x14ac:dyDescent="0.2">
      <c r="B5" s="8" t="s">
        <v>343</v>
      </c>
    </row>
    <row r="6" spans="2:7" x14ac:dyDescent="0.2">
      <c r="B6" s="72" t="s">
        <v>3</v>
      </c>
      <c r="C6" s="390" t="s">
        <v>344</v>
      </c>
      <c r="D6" s="390" t="s">
        <v>345</v>
      </c>
      <c r="E6" s="390" t="s">
        <v>346</v>
      </c>
      <c r="F6" s="390" t="s">
        <v>347</v>
      </c>
      <c r="G6" s="390" t="s">
        <v>348</v>
      </c>
    </row>
    <row r="7" spans="2:7" ht="17" x14ac:dyDescent="0.2">
      <c r="B7" s="104" t="s">
        <v>349</v>
      </c>
      <c r="C7" s="163">
        <v>0.7218</v>
      </c>
      <c r="D7" s="163">
        <f t="shared" ref="D7:D12" si="0">1-C7</f>
        <v>0.2782</v>
      </c>
      <c r="E7" s="165">
        <f t="shared" ref="E7:E12" si="1">C7/D7</f>
        <v>2.5945363048166787</v>
      </c>
      <c r="F7" s="97">
        <v>1.01</v>
      </c>
      <c r="G7" s="345">
        <f>F7/(1+E7*1-DCF!M11)</f>
        <v>0.29841606324701725</v>
      </c>
    </row>
    <row r="8" spans="2:7" ht="17" x14ac:dyDescent="0.2">
      <c r="B8" s="104" t="s">
        <v>350</v>
      </c>
      <c r="C8" s="163">
        <v>0.64510000000000001</v>
      </c>
      <c r="D8" s="163">
        <f t="shared" si="0"/>
        <v>0.35489999999999999</v>
      </c>
      <c r="E8" s="165">
        <f t="shared" si="1"/>
        <v>1.8176951253874332</v>
      </c>
      <c r="F8" s="97">
        <v>0.56000000000000005</v>
      </c>
      <c r="G8" s="345">
        <f>F8/(1+E8*1-DCF!M11)</f>
        <v>0.21474903049366215</v>
      </c>
    </row>
    <row r="9" spans="2:7" ht="17" x14ac:dyDescent="0.2">
      <c r="B9" s="104" t="s">
        <v>351</v>
      </c>
      <c r="C9" s="163">
        <v>0.90820000000000001</v>
      </c>
      <c r="D9" s="163">
        <f t="shared" si="0"/>
        <v>9.1799999999999993E-2</v>
      </c>
      <c r="E9" s="165">
        <f t="shared" si="1"/>
        <v>9.893246187363836</v>
      </c>
      <c r="F9" s="97">
        <v>1.34</v>
      </c>
      <c r="G9" s="345">
        <f>F9/(1+E9*1-DCF!M11)</f>
        <v>0.12543004031723567</v>
      </c>
    </row>
    <row r="10" spans="2:7" ht="17" x14ac:dyDescent="0.2">
      <c r="B10" s="104" t="s">
        <v>352</v>
      </c>
      <c r="C10" s="163">
        <v>0.39</v>
      </c>
      <c r="D10" s="163">
        <f t="shared" si="0"/>
        <v>0.61</v>
      </c>
      <c r="E10" s="165">
        <f t="shared" si="1"/>
        <v>0.63934426229508201</v>
      </c>
      <c r="F10" s="97">
        <v>1.19</v>
      </c>
      <c r="G10" s="345">
        <f>F10/(1+E10*1-DCF!M11)</f>
        <v>0.83254960431242109</v>
      </c>
    </row>
    <row r="11" spans="2:7" ht="17" x14ac:dyDescent="0.2">
      <c r="B11" s="104" t="s">
        <v>353</v>
      </c>
      <c r="C11" s="163">
        <v>0.79979999999999996</v>
      </c>
      <c r="D11" s="163">
        <f t="shared" si="0"/>
        <v>0.20020000000000004</v>
      </c>
      <c r="E11" s="165">
        <f t="shared" si="1"/>
        <v>3.9950049950049937</v>
      </c>
      <c r="F11" s="97">
        <v>1.5</v>
      </c>
      <c r="G11" s="345">
        <f>F11/(1+E11*1-DCF!M11)</f>
        <v>0.3134792965871156</v>
      </c>
    </row>
    <row r="12" spans="2:7" ht="17" x14ac:dyDescent="0.2">
      <c r="B12" s="104" t="s">
        <v>354</v>
      </c>
      <c r="C12" s="163">
        <v>0.62770000000000004</v>
      </c>
      <c r="D12" s="163">
        <f t="shared" si="0"/>
        <v>0.37229999999999996</v>
      </c>
      <c r="E12" s="165">
        <f t="shared" si="1"/>
        <v>1.6860059092130004</v>
      </c>
      <c r="F12" s="97">
        <v>1.23</v>
      </c>
      <c r="G12" s="345">
        <f>F12/(1+E12*1-DCF!M11)</f>
        <v>0.49676779664510406</v>
      </c>
    </row>
    <row r="13" spans="2:7" x14ac:dyDescent="0.2">
      <c r="B13" s="35" t="s">
        <v>355</v>
      </c>
      <c r="C13" s="164">
        <f>AVERAGE(C7:C12)</f>
        <v>0.68210000000000004</v>
      </c>
      <c r="D13" s="164">
        <f>AVERAGE(D7:D12)</f>
        <v>0.31790000000000002</v>
      </c>
      <c r="E13" s="166">
        <f>AVERAGE(E7:E12)</f>
        <v>3.4376387973468376</v>
      </c>
      <c r="F13" s="167">
        <f>AVERAGE(F7:F12)</f>
        <v>1.1383333333333334</v>
      </c>
      <c r="G13" s="365">
        <f>AVERAGE(G7:G12)</f>
        <v>0.38023197193375929</v>
      </c>
    </row>
    <row r="14" spans="2:7" x14ac:dyDescent="0.2">
      <c r="C14" s="152"/>
      <c r="F14" s="82"/>
    </row>
    <row r="15" spans="2:7" x14ac:dyDescent="0.2">
      <c r="B15" s="8" t="s">
        <v>4</v>
      </c>
      <c r="C15" s="163">
        <v>0.86209999999999998</v>
      </c>
      <c r="D15" s="152">
        <f>1-C15</f>
        <v>0.13790000000000002</v>
      </c>
      <c r="E15" s="165">
        <f>C15/D15</f>
        <v>6.2516316171138495</v>
      </c>
      <c r="F15" s="97">
        <v>1.78</v>
      </c>
    </row>
    <row r="17" spans="2:9" x14ac:dyDescent="0.2">
      <c r="B17" s="26" t="s">
        <v>356</v>
      </c>
      <c r="F17" s="8" t="s">
        <v>357</v>
      </c>
      <c r="G17" s="345">
        <f>G13*(1+(1-DCF!M11)*'DCF Assumptions'!E15)</f>
        <v>2.2581174438208813</v>
      </c>
      <c r="I17" s="8" t="s">
        <v>358</v>
      </c>
    </row>
    <row r="18" spans="2:9" x14ac:dyDescent="0.2">
      <c r="I18" s="8" t="s">
        <v>359</v>
      </c>
    </row>
    <row r="19" spans="2:9" x14ac:dyDescent="0.2">
      <c r="B19"/>
    </row>
    <row r="22" spans="2:9" x14ac:dyDescent="0.2">
      <c r="G22" s="9" t="s">
        <v>360</v>
      </c>
      <c r="I22" s="8" t="s">
        <v>361</v>
      </c>
    </row>
    <row r="23" spans="2:9" x14ac:dyDescent="0.2">
      <c r="G23" s="345">
        <f>'Balance Sheet'!Y48/'Balance Sheet'!Y54</f>
        <v>1.8227947551795358</v>
      </c>
    </row>
    <row r="25" spans="2:9" x14ac:dyDescent="0.2">
      <c r="G25" s="9" t="s">
        <v>362</v>
      </c>
    </row>
    <row r="26" spans="2:9" x14ac:dyDescent="0.2">
      <c r="G26" s="370">
        <f>G23*0.8</f>
        <v>1.4582358041436287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84CF-B55D-5F44-B76A-98A10B45CB3E}">
  <dimension ref="B1:N36"/>
  <sheetViews>
    <sheetView showGridLines="0" topLeftCell="A2" workbookViewId="0">
      <selection activeCell="E26" sqref="E26"/>
    </sheetView>
  </sheetViews>
  <sheetFormatPr baseColWidth="10" defaultColWidth="10.83203125" defaultRowHeight="16" x14ac:dyDescent="0.2"/>
  <cols>
    <col min="1" max="1" width="1.83203125" style="8" customWidth="1"/>
    <col min="2" max="2" width="42.1640625" style="8" customWidth="1"/>
    <col min="3" max="20" width="20.83203125" style="8" customWidth="1"/>
    <col min="21" max="16384" width="10.83203125" style="8"/>
  </cols>
  <sheetData>
    <row r="1" spans="2:14" ht="10" customHeight="1" x14ac:dyDescent="0.2"/>
    <row r="2" spans="2:14" x14ac:dyDescent="0.2">
      <c r="B2" s="3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</row>
    <row r="3" spans="2:14" x14ac:dyDescent="0.2">
      <c r="B3" s="45" t="s">
        <v>363</v>
      </c>
      <c r="C3" s="395" t="s">
        <v>364</v>
      </c>
      <c r="D3" s="395"/>
      <c r="E3" s="395"/>
      <c r="F3" s="395" t="s">
        <v>365</v>
      </c>
      <c r="G3" s="396"/>
      <c r="H3" s="395" t="s">
        <v>366</v>
      </c>
      <c r="I3" s="395"/>
      <c r="J3" s="395" t="s">
        <v>367</v>
      </c>
      <c r="K3" s="395"/>
      <c r="L3" s="395" t="s">
        <v>368</v>
      </c>
      <c r="M3" s="395"/>
      <c r="N3" s="395"/>
    </row>
    <row r="4" spans="2:14" x14ac:dyDescent="0.2">
      <c r="B4" s="95" t="s">
        <v>3</v>
      </c>
      <c r="C4" s="96" t="s">
        <v>13</v>
      </c>
      <c r="D4" s="96" t="s">
        <v>369</v>
      </c>
      <c r="E4" s="103" t="s">
        <v>370</v>
      </c>
      <c r="F4" s="96" t="s">
        <v>371</v>
      </c>
      <c r="G4" s="103" t="s">
        <v>372</v>
      </c>
      <c r="H4" s="96" t="s">
        <v>371</v>
      </c>
      <c r="I4" s="103" t="s">
        <v>372</v>
      </c>
      <c r="J4" s="96" t="s">
        <v>373</v>
      </c>
      <c r="K4" s="103" t="s">
        <v>372</v>
      </c>
      <c r="L4" s="96" t="s">
        <v>374</v>
      </c>
      <c r="M4" s="96" t="s">
        <v>375</v>
      </c>
      <c r="N4" s="96" t="s">
        <v>376</v>
      </c>
    </row>
    <row r="5" spans="2:14" ht="17" x14ac:dyDescent="0.2">
      <c r="B5" s="104" t="s">
        <v>349</v>
      </c>
      <c r="C5" s="113">
        <v>10332.4</v>
      </c>
      <c r="D5" s="113">
        <v>29387</v>
      </c>
      <c r="E5" s="118">
        <v>47585.4</v>
      </c>
      <c r="F5" s="106">
        <v>3.9</v>
      </c>
      <c r="G5" s="107">
        <v>3.72</v>
      </c>
      <c r="H5" s="106">
        <v>13.6</v>
      </c>
      <c r="I5" s="107">
        <v>15.54</v>
      </c>
      <c r="J5" s="113">
        <v>2.29</v>
      </c>
      <c r="K5" s="107">
        <v>6.34</v>
      </c>
      <c r="L5" s="98">
        <v>-3.7000000000000002E-3</v>
      </c>
      <c r="M5" s="99">
        <v>0.28399999999999997</v>
      </c>
      <c r="N5" s="99">
        <v>0.184</v>
      </c>
    </row>
    <row r="6" spans="2:14" ht="17" x14ac:dyDescent="0.2">
      <c r="B6" s="104" t="s">
        <v>350</v>
      </c>
      <c r="C6" s="113">
        <v>52024.2</v>
      </c>
      <c r="D6" s="113">
        <v>29398.9</v>
      </c>
      <c r="E6" s="118">
        <v>81733.7</v>
      </c>
      <c r="F6" s="106">
        <v>6.3</v>
      </c>
      <c r="G6" s="107">
        <v>5.89</v>
      </c>
      <c r="H6" s="106">
        <v>14.5</v>
      </c>
      <c r="I6" s="107">
        <v>13.01</v>
      </c>
      <c r="J6" s="113">
        <v>4.4000000000000004</v>
      </c>
      <c r="K6" s="107">
        <v>25.81</v>
      </c>
      <c r="L6" s="98">
        <v>8.9800000000000005E-2</v>
      </c>
      <c r="M6" s="99">
        <v>0.43099999999999999</v>
      </c>
      <c r="N6" s="99">
        <v>0.47699999999999998</v>
      </c>
    </row>
    <row r="7" spans="2:14" ht="17" x14ac:dyDescent="0.2">
      <c r="B7" s="104" t="s">
        <v>351</v>
      </c>
      <c r="C7" s="113">
        <v>34232.199999999997</v>
      </c>
      <c r="D7" s="113">
        <v>11918</v>
      </c>
      <c r="E7" s="118">
        <v>46800.2</v>
      </c>
      <c r="F7" s="106">
        <v>1.5</v>
      </c>
      <c r="G7" s="107">
        <v>1.34</v>
      </c>
      <c r="H7" s="106">
        <v>14.5</v>
      </c>
      <c r="I7" s="107">
        <v>8.35</v>
      </c>
      <c r="J7" s="113">
        <v>9.11</v>
      </c>
      <c r="K7" s="107">
        <v>17.54</v>
      </c>
      <c r="L7" s="98">
        <v>9.1800000000000007E-2</v>
      </c>
      <c r="M7" s="99">
        <v>9.7000000000000003E-2</v>
      </c>
      <c r="N7" s="99">
        <v>0.19400000000000001</v>
      </c>
    </row>
    <row r="8" spans="2:14" ht="17" customHeight="1" x14ac:dyDescent="0.2">
      <c r="B8" s="104" t="s">
        <v>352</v>
      </c>
      <c r="C8" s="113">
        <v>113583</v>
      </c>
      <c r="D8" s="113">
        <v>5856</v>
      </c>
      <c r="E8" s="118">
        <v>119775</v>
      </c>
      <c r="F8" s="106">
        <v>4.7</v>
      </c>
      <c r="G8" s="107">
        <v>3.75</v>
      </c>
      <c r="H8" s="106">
        <v>20.7</v>
      </c>
      <c r="I8" s="107">
        <v>13.46</v>
      </c>
      <c r="J8" s="113">
        <v>11.64</v>
      </c>
      <c r="K8" s="107">
        <v>26.94</v>
      </c>
      <c r="L8" s="98">
        <v>8.3400000000000002E-2</v>
      </c>
      <c r="M8" s="99">
        <v>0.221</v>
      </c>
      <c r="N8" s="99">
        <v>0.184</v>
      </c>
    </row>
    <row r="9" spans="2:14" ht="17" x14ac:dyDescent="0.2">
      <c r="B9" s="104" t="s">
        <v>353</v>
      </c>
      <c r="C9" s="113">
        <v>55640.6</v>
      </c>
      <c r="D9" s="113">
        <v>19622</v>
      </c>
      <c r="E9" s="118">
        <v>77751.600000000006</v>
      </c>
      <c r="F9" s="106">
        <v>4.4000000000000004</v>
      </c>
      <c r="G9" s="107">
        <v>3.41</v>
      </c>
      <c r="H9" s="106">
        <v>14.7</v>
      </c>
      <c r="I9" s="107">
        <v>10.71</v>
      </c>
      <c r="J9" s="113">
        <v>8.49</v>
      </c>
      <c r="K9" s="107">
        <v>19.350000000000001</v>
      </c>
      <c r="L9" s="98">
        <v>2.98E-2</v>
      </c>
      <c r="M9" s="99">
        <v>0.29499999999999998</v>
      </c>
      <c r="N9" s="99">
        <v>0.33200000000000002</v>
      </c>
    </row>
    <row r="10" spans="2:14" ht="17" x14ac:dyDescent="0.2">
      <c r="B10" s="104" t="s">
        <v>354</v>
      </c>
      <c r="C10" s="113">
        <v>13984.4</v>
      </c>
      <c r="D10" s="113">
        <v>14822</v>
      </c>
      <c r="E10" s="119">
        <v>38444.400000000001</v>
      </c>
      <c r="F10" s="106">
        <v>10.3</v>
      </c>
      <c r="G10" s="108">
        <v>6.42</v>
      </c>
      <c r="H10" s="106">
        <v>18.2</v>
      </c>
      <c r="I10" s="108">
        <v>13.39</v>
      </c>
      <c r="J10" s="113">
        <v>-1.33</v>
      </c>
      <c r="K10" s="108" t="s">
        <v>377</v>
      </c>
      <c r="L10" s="122">
        <v>-0.1</v>
      </c>
      <c r="M10" s="99">
        <v>0.56899999999999995</v>
      </c>
      <c r="N10" s="99">
        <v>0.59899999999999998</v>
      </c>
    </row>
    <row r="11" spans="2:14" x14ac:dyDescent="0.2">
      <c r="B11" s="46" t="s">
        <v>378</v>
      </c>
      <c r="C11" s="114">
        <f>MIN(C5:C10)</f>
        <v>10332.4</v>
      </c>
      <c r="D11" s="114">
        <f t="shared" ref="D11:N11" si="0">MIN(D5:D10)</f>
        <v>5856</v>
      </c>
      <c r="E11" s="114">
        <f t="shared" si="0"/>
        <v>38444.400000000001</v>
      </c>
      <c r="F11" s="109">
        <f t="shared" si="0"/>
        <v>1.5</v>
      </c>
      <c r="G11" s="109">
        <f t="shared" si="0"/>
        <v>1.34</v>
      </c>
      <c r="H11" s="109">
        <f t="shared" si="0"/>
        <v>13.6</v>
      </c>
      <c r="I11" s="109">
        <f t="shared" si="0"/>
        <v>8.35</v>
      </c>
      <c r="J11" s="114">
        <f t="shared" si="0"/>
        <v>-1.33</v>
      </c>
      <c r="K11" s="109">
        <f t="shared" si="0"/>
        <v>6.34</v>
      </c>
      <c r="L11" s="120">
        <f>MIN(L5:L10)</f>
        <v>-0.1</v>
      </c>
      <c r="M11" s="120">
        <f t="shared" si="0"/>
        <v>9.7000000000000003E-2</v>
      </c>
      <c r="N11" s="120">
        <f t="shared" si="0"/>
        <v>0.184</v>
      </c>
    </row>
    <row r="12" spans="2:14" x14ac:dyDescent="0.2">
      <c r="B12" s="47" t="s">
        <v>379</v>
      </c>
      <c r="C12" s="115">
        <f>_xlfn.PERCENTILE.EXC(C5:C10, 0.25)</f>
        <v>13071.4</v>
      </c>
      <c r="D12" s="115">
        <f t="shared" ref="D12:N12" si="1">_xlfn.PERCENTILE.EXC(D5:D10, 0.25)</f>
        <v>10402.5</v>
      </c>
      <c r="E12" s="115">
        <f t="shared" si="1"/>
        <v>44711.25</v>
      </c>
      <c r="F12" s="110">
        <f t="shared" si="1"/>
        <v>3.3</v>
      </c>
      <c r="G12" s="110">
        <f t="shared" si="1"/>
        <v>2.8925000000000001</v>
      </c>
      <c r="H12" s="110">
        <f t="shared" si="1"/>
        <v>14.275</v>
      </c>
      <c r="I12" s="110">
        <f t="shared" si="1"/>
        <v>10.120000000000001</v>
      </c>
      <c r="J12" s="115">
        <f t="shared" si="1"/>
        <v>1.3849999999999998</v>
      </c>
      <c r="K12" s="110">
        <f t="shared" si="1"/>
        <v>11.94</v>
      </c>
      <c r="L12" s="121">
        <f t="shared" si="1"/>
        <v>-2.7774999999999994E-2</v>
      </c>
      <c r="M12" s="121">
        <f t="shared" si="1"/>
        <v>0.19</v>
      </c>
      <c r="N12" s="121">
        <f t="shared" si="1"/>
        <v>0.184</v>
      </c>
    </row>
    <row r="13" spans="2:14" x14ac:dyDescent="0.2">
      <c r="B13" s="47" t="s">
        <v>380</v>
      </c>
      <c r="C13" s="115">
        <f>AVERAGE(C5:C10)</f>
        <v>46632.799999999996</v>
      </c>
      <c r="D13" s="115">
        <f t="shared" ref="D13:N13" si="2">AVERAGE(D5:D10)</f>
        <v>18500.649999999998</v>
      </c>
      <c r="E13" s="115">
        <f t="shared" si="2"/>
        <v>68681.716666666674</v>
      </c>
      <c r="F13" s="110">
        <f t="shared" si="2"/>
        <v>5.1833333333333327</v>
      </c>
      <c r="G13" s="110">
        <f t="shared" si="2"/>
        <v>4.0883333333333338</v>
      </c>
      <c r="H13" s="110">
        <f t="shared" si="2"/>
        <v>16.033333333333335</v>
      </c>
      <c r="I13" s="110">
        <f t="shared" si="2"/>
        <v>12.410000000000002</v>
      </c>
      <c r="J13" s="115">
        <f t="shared" si="2"/>
        <v>5.7666666666666666</v>
      </c>
      <c r="K13" s="110">
        <f t="shared" si="2"/>
        <v>19.195999999999998</v>
      </c>
      <c r="L13" s="121">
        <f t="shared" si="2"/>
        <v>3.1849999999999996E-2</v>
      </c>
      <c r="M13" s="121">
        <f t="shared" si="2"/>
        <v>0.31616666666666665</v>
      </c>
      <c r="N13" s="121">
        <f t="shared" si="2"/>
        <v>0.32833333333333331</v>
      </c>
    </row>
    <row r="14" spans="2:14" x14ac:dyDescent="0.2">
      <c r="B14" s="47" t="s">
        <v>381</v>
      </c>
      <c r="C14" s="115">
        <f>MEDIAN(C5:C10)</f>
        <v>43128.2</v>
      </c>
      <c r="D14" s="115">
        <f t="shared" ref="D14:N14" si="3">MEDIAN(D5:D10)</f>
        <v>17222</v>
      </c>
      <c r="E14" s="115">
        <f t="shared" si="3"/>
        <v>62668.5</v>
      </c>
      <c r="F14" s="110">
        <f t="shared" si="3"/>
        <v>4.5500000000000007</v>
      </c>
      <c r="G14" s="110">
        <f t="shared" si="3"/>
        <v>3.7350000000000003</v>
      </c>
      <c r="H14" s="110">
        <f t="shared" si="3"/>
        <v>14.6</v>
      </c>
      <c r="I14" s="110">
        <f t="shared" si="3"/>
        <v>13.2</v>
      </c>
      <c r="J14" s="115">
        <f t="shared" si="3"/>
        <v>6.4450000000000003</v>
      </c>
      <c r="K14" s="110">
        <f t="shared" si="3"/>
        <v>19.350000000000001</v>
      </c>
      <c r="L14" s="121">
        <f t="shared" si="3"/>
        <v>5.6599999999999998E-2</v>
      </c>
      <c r="M14" s="121">
        <f t="shared" si="3"/>
        <v>0.28949999999999998</v>
      </c>
      <c r="N14" s="121">
        <f t="shared" si="3"/>
        <v>0.26300000000000001</v>
      </c>
    </row>
    <row r="15" spans="2:14" x14ac:dyDescent="0.2">
      <c r="B15" s="47" t="s">
        <v>382</v>
      </c>
      <c r="C15" s="115">
        <f>_xlfn.PERCENTILE.EXC(C5:C10, 0.75)</f>
        <v>70126.2</v>
      </c>
      <c r="D15" s="115">
        <f t="shared" ref="D15:N15" si="4">_xlfn.PERCENTILE.EXC(D5:D10, 0.75)</f>
        <v>29389.974999999999</v>
      </c>
      <c r="E15" s="115">
        <f t="shared" si="4"/>
        <v>91244.024999999994</v>
      </c>
      <c r="F15" s="110">
        <f t="shared" si="4"/>
        <v>7.3</v>
      </c>
      <c r="G15" s="110">
        <f t="shared" si="4"/>
        <v>6.0225</v>
      </c>
      <c r="H15" s="110">
        <f t="shared" si="4"/>
        <v>18.824999999999999</v>
      </c>
      <c r="I15" s="110">
        <f t="shared" si="4"/>
        <v>13.98</v>
      </c>
      <c r="J15" s="115">
        <f t="shared" si="4"/>
        <v>9.7424999999999997</v>
      </c>
      <c r="K15" s="110">
        <f t="shared" si="4"/>
        <v>26.375</v>
      </c>
      <c r="L15" s="121">
        <f t="shared" si="4"/>
        <v>9.0300000000000005E-2</v>
      </c>
      <c r="M15" s="121">
        <f t="shared" si="4"/>
        <v>0.46549999999999997</v>
      </c>
      <c r="N15" s="121">
        <f t="shared" si="4"/>
        <v>0.50749999999999995</v>
      </c>
    </row>
    <row r="16" spans="2:14" x14ac:dyDescent="0.2">
      <c r="B16" s="47" t="s">
        <v>383</v>
      </c>
      <c r="C16" s="115">
        <f>MAX(C5:C10)</f>
        <v>113583</v>
      </c>
      <c r="D16" s="115">
        <f t="shared" ref="D16:N16" si="5">MAX(D5:D10)</f>
        <v>29398.9</v>
      </c>
      <c r="E16" s="115">
        <f t="shared" si="5"/>
        <v>119775</v>
      </c>
      <c r="F16" s="110">
        <f t="shared" si="5"/>
        <v>10.3</v>
      </c>
      <c r="G16" s="110">
        <f t="shared" si="5"/>
        <v>6.42</v>
      </c>
      <c r="H16" s="110">
        <f t="shared" si="5"/>
        <v>20.7</v>
      </c>
      <c r="I16" s="110">
        <f t="shared" si="5"/>
        <v>15.54</v>
      </c>
      <c r="J16" s="115">
        <f t="shared" si="5"/>
        <v>11.64</v>
      </c>
      <c r="K16" s="110">
        <f t="shared" si="5"/>
        <v>26.94</v>
      </c>
      <c r="L16" s="121">
        <f t="shared" si="5"/>
        <v>9.1800000000000007E-2</v>
      </c>
      <c r="M16" s="121">
        <f t="shared" si="5"/>
        <v>0.56899999999999995</v>
      </c>
      <c r="N16" s="121">
        <f t="shared" si="5"/>
        <v>0.59899999999999998</v>
      </c>
    </row>
    <row r="17" spans="2:14" x14ac:dyDescent="0.2">
      <c r="C17" s="116"/>
      <c r="D17" s="116"/>
      <c r="E17" s="116"/>
      <c r="F17" s="111"/>
      <c r="G17" s="111"/>
      <c r="H17" s="111"/>
      <c r="I17" s="111"/>
      <c r="J17" s="116"/>
      <c r="K17" s="111"/>
    </row>
    <row r="18" spans="2:14" x14ac:dyDescent="0.2">
      <c r="B18" s="102" t="s">
        <v>384</v>
      </c>
      <c r="C18" s="117">
        <v>16538.3</v>
      </c>
      <c r="D18" s="117">
        <v>6144</v>
      </c>
      <c r="E18" s="117">
        <v>22682.3</v>
      </c>
      <c r="F18" s="112">
        <v>8.6</v>
      </c>
      <c r="G18" s="112">
        <v>5.38</v>
      </c>
      <c r="H18" s="112">
        <v>70.7</v>
      </c>
      <c r="I18" s="112">
        <v>11.48</v>
      </c>
      <c r="J18" s="117">
        <v>20.41</v>
      </c>
      <c r="K18" s="112">
        <v>17.850000000000001</v>
      </c>
      <c r="L18" s="100">
        <v>0.26679999999999998</v>
      </c>
      <c r="M18" s="101">
        <v>0.122</v>
      </c>
      <c r="N18" s="101">
        <v>0.38100000000000001</v>
      </c>
    </row>
    <row r="21" spans="2:14" x14ac:dyDescent="0.2">
      <c r="B21" s="94" t="s">
        <v>385</v>
      </c>
    </row>
    <row r="22" spans="2:14" x14ac:dyDescent="0.2">
      <c r="D22" s="165">
        <f ca="1">YEARFRAC(C23,D23)</f>
        <v>1.375</v>
      </c>
      <c r="E22" s="165"/>
    </row>
    <row r="23" spans="2:14" x14ac:dyDescent="0.2">
      <c r="B23" s="348" t="s">
        <v>386</v>
      </c>
      <c r="C23" s="349">
        <f ca="1">TODAY()</f>
        <v>46219</v>
      </c>
      <c r="D23" s="350">
        <v>46722</v>
      </c>
      <c r="E23" s="356"/>
    </row>
    <row r="25" spans="2:14" x14ac:dyDescent="0.2">
      <c r="B25" s="8" t="s">
        <v>127</v>
      </c>
      <c r="C25" s="346">
        <f>'Income Statement'!T57</f>
        <v>1320.698881026706</v>
      </c>
      <c r="D25" s="346">
        <f>'Income Statement'!Y57</f>
        <v>1863.4439493746283</v>
      </c>
      <c r="E25" s="346"/>
    </row>
    <row r="26" spans="2:14" x14ac:dyDescent="0.2">
      <c r="B26" s="8" t="s">
        <v>387</v>
      </c>
      <c r="C26" s="347">
        <f>I15</f>
        <v>13.98</v>
      </c>
      <c r="D26" s="347">
        <f>I15</f>
        <v>13.98</v>
      </c>
      <c r="E26" s="347"/>
    </row>
    <row r="27" spans="2:14" x14ac:dyDescent="0.2">
      <c r="E27" s="82"/>
    </row>
    <row r="28" spans="2:14" x14ac:dyDescent="0.2">
      <c r="B28" s="8" t="s">
        <v>388</v>
      </c>
      <c r="C28" s="346"/>
      <c r="D28" s="346">
        <f>D25*D26</f>
        <v>26050.946412257304</v>
      </c>
      <c r="E28" s="354"/>
    </row>
    <row r="29" spans="2:14" x14ac:dyDescent="0.2">
      <c r="B29" s="67" t="s">
        <v>15</v>
      </c>
      <c r="C29" s="355"/>
      <c r="D29" s="355">
        <f>D18</f>
        <v>6144</v>
      </c>
      <c r="E29" s="357"/>
    </row>
    <row r="30" spans="2:14" x14ac:dyDescent="0.2">
      <c r="B30" s="8" t="s">
        <v>389</v>
      </c>
      <c r="C30" s="346"/>
      <c r="D30" s="346">
        <f>D28-D29</f>
        <v>19906.946412257304</v>
      </c>
      <c r="E30" s="354"/>
    </row>
    <row r="32" spans="2:14" x14ac:dyDescent="0.2">
      <c r="B32" s="8" t="s">
        <v>390</v>
      </c>
      <c r="C32" s="353">
        <f>'Income Statement'!T49</f>
        <v>48.184454580407902</v>
      </c>
      <c r="D32" s="353">
        <f>'Income Statement'!Y49</f>
        <v>48.128011443277799</v>
      </c>
      <c r="E32" s="353"/>
    </row>
    <row r="34" spans="2:5" x14ac:dyDescent="0.2">
      <c r="B34" s="358" t="s">
        <v>391</v>
      </c>
      <c r="C34" s="359">
        <v>347.74</v>
      </c>
      <c r="D34" s="360">
        <f>D30/D32</f>
        <v>413.62495177510135</v>
      </c>
      <c r="E34" s="354"/>
    </row>
    <row r="35" spans="2:5" x14ac:dyDescent="0.2">
      <c r="B35" s="153" t="s">
        <v>392</v>
      </c>
      <c r="D35" s="361">
        <f>D34/C34-1</f>
        <v>0.18946612922039829</v>
      </c>
    </row>
    <row r="36" spans="2:5" x14ac:dyDescent="0.2">
      <c r="B36" s="189" t="s">
        <v>393</v>
      </c>
      <c r="C36" s="67"/>
      <c r="D36" s="363">
        <f ca="1">(D34/C34)^(1/D22)-1</f>
        <v>0.13449219536762524</v>
      </c>
    </row>
  </sheetData>
  <mergeCells count="5">
    <mergeCell ref="C3:E3"/>
    <mergeCell ref="F3:G3"/>
    <mergeCell ref="H3:I3"/>
    <mergeCell ref="J3:K3"/>
    <mergeCell ref="L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34739-C86C-E045-94AD-7BDB16EA7C60}">
  <dimension ref="B2:Z271"/>
  <sheetViews>
    <sheetView topLeftCell="B51" zoomScale="109" workbookViewId="0">
      <selection activeCell="E62" sqref="E62:G64"/>
    </sheetView>
  </sheetViews>
  <sheetFormatPr baseColWidth="10" defaultColWidth="11" defaultRowHeight="16" x14ac:dyDescent="0.2"/>
  <sheetData>
    <row r="2" spans="2:24" x14ac:dyDescent="0.2">
      <c r="B2" s="9" t="s">
        <v>394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2:24" x14ac:dyDescent="0.2">
      <c r="B3" s="8" t="s">
        <v>395</v>
      </c>
      <c r="C3" s="144">
        <v>0.75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2:24" x14ac:dyDescent="0.2">
      <c r="B4" s="8" t="s">
        <v>396</v>
      </c>
      <c r="C4" s="144">
        <v>0.19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2:24" x14ac:dyDescent="0.2">
      <c r="B5" s="8" t="s">
        <v>397</v>
      </c>
      <c r="C5" s="144">
        <v>0.04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2:24" x14ac:dyDescent="0.2">
      <c r="B6" s="8" t="s">
        <v>237</v>
      </c>
      <c r="C6" s="144">
        <v>0.02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2:24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9" t="s">
        <v>398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 t="s">
        <v>399</v>
      </c>
    </row>
    <row r="8" spans="2:24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 t="s">
        <v>400</v>
      </c>
      <c r="M8" s="8" t="s">
        <v>401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2:24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 t="s">
        <v>402</v>
      </c>
      <c r="M9" s="8">
        <v>1.18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2:24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 t="s">
        <v>403</v>
      </c>
      <c r="M10" s="8">
        <v>2.15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2:24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 t="s">
        <v>404</v>
      </c>
      <c r="M11" s="8">
        <v>2.54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2:24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 t="s">
        <v>405</v>
      </c>
      <c r="M12" s="8">
        <v>2.5499999999999998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2:24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 t="s">
        <v>406</v>
      </c>
      <c r="M13" s="8">
        <v>2.06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2:24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 t="s">
        <v>407</v>
      </c>
      <c r="M14" s="8">
        <v>5.53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2:24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2:24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2:26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9" t="s">
        <v>408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2:26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 t="s">
        <v>400</v>
      </c>
      <c r="M18" s="8" t="s">
        <v>409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2:26" x14ac:dyDescent="0.2">
      <c r="B19" s="145" t="s">
        <v>9</v>
      </c>
      <c r="C19" s="145" t="s">
        <v>410</v>
      </c>
      <c r="D19" s="8"/>
      <c r="E19" s="8"/>
      <c r="F19" s="8"/>
      <c r="G19" s="8"/>
      <c r="H19" s="8"/>
      <c r="I19" s="8"/>
      <c r="J19" s="8"/>
      <c r="K19" s="8"/>
      <c r="L19" s="8" t="s">
        <v>402</v>
      </c>
      <c r="M19" s="8">
        <v>2.39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2:26" x14ac:dyDescent="0.2">
      <c r="B20" s="145" t="s">
        <v>411</v>
      </c>
      <c r="C20" s="145">
        <v>336.12</v>
      </c>
      <c r="D20" s="8"/>
      <c r="E20" s="8"/>
      <c r="F20" s="8"/>
      <c r="G20" s="8"/>
      <c r="H20" s="8"/>
      <c r="I20" s="8"/>
      <c r="J20" s="8"/>
      <c r="K20" s="8"/>
      <c r="L20" s="8" t="s">
        <v>403</v>
      </c>
      <c r="M20" s="8">
        <v>0.95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2:26" x14ac:dyDescent="0.2">
      <c r="B21" s="145" t="s">
        <v>412</v>
      </c>
      <c r="C21" s="145">
        <v>346.26</v>
      </c>
      <c r="D21" s="8"/>
      <c r="E21" s="8"/>
      <c r="F21" s="8"/>
      <c r="G21" s="8"/>
      <c r="H21" s="8"/>
      <c r="I21" s="8"/>
      <c r="J21" s="8"/>
      <c r="K21" s="8"/>
      <c r="L21" s="8" t="s">
        <v>404</v>
      </c>
      <c r="M21" s="8">
        <v>-1.43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 t="s">
        <v>292</v>
      </c>
      <c r="Y21" t="s">
        <v>413</v>
      </c>
      <c r="Z21" t="s">
        <v>414</v>
      </c>
    </row>
    <row r="22" spans="2:26" x14ac:dyDescent="0.2">
      <c r="B22" s="145" t="s">
        <v>415</v>
      </c>
      <c r="C22" s="145">
        <v>365.35</v>
      </c>
      <c r="D22" s="8"/>
      <c r="E22" s="8"/>
      <c r="F22" s="8"/>
      <c r="G22" s="8"/>
      <c r="H22" s="8"/>
      <c r="I22" s="8"/>
      <c r="J22" s="8"/>
      <c r="K22" s="8"/>
      <c r="L22" s="8" t="s">
        <v>405</v>
      </c>
      <c r="M22" s="8">
        <v>1.06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 t="s">
        <v>22</v>
      </c>
      <c r="Y22">
        <v>34</v>
      </c>
      <c r="Z22">
        <v>241</v>
      </c>
    </row>
    <row r="23" spans="2:26" x14ac:dyDescent="0.2">
      <c r="B23" s="145" t="s">
        <v>416</v>
      </c>
      <c r="C23" s="145">
        <v>362.4</v>
      </c>
      <c r="D23" s="8"/>
      <c r="E23" s="8"/>
      <c r="F23" s="8"/>
      <c r="G23" s="8"/>
      <c r="H23" s="8"/>
      <c r="I23" s="8"/>
      <c r="J23" s="8"/>
      <c r="K23" s="8"/>
      <c r="L23" s="8" t="s">
        <v>406</v>
      </c>
      <c r="M23" s="8">
        <v>3.93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 t="s">
        <v>27</v>
      </c>
      <c r="Y23">
        <v>29</v>
      </c>
      <c r="Z23">
        <v>192</v>
      </c>
    </row>
    <row r="24" spans="2:26" x14ac:dyDescent="0.2">
      <c r="B24" s="145" t="s">
        <v>417</v>
      </c>
      <c r="C24" s="145">
        <v>353.3</v>
      </c>
      <c r="D24" s="8"/>
      <c r="E24" s="149"/>
      <c r="F24" s="8"/>
      <c r="G24" s="8"/>
      <c r="H24" s="8"/>
      <c r="I24" s="8"/>
      <c r="J24" s="8"/>
      <c r="K24" s="8"/>
      <c r="L24" s="8" t="s">
        <v>407</v>
      </c>
      <c r="M24" s="8">
        <v>1.66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 t="s">
        <v>32</v>
      </c>
      <c r="Y24">
        <v>270</v>
      </c>
      <c r="Z24">
        <v>485</v>
      </c>
    </row>
    <row r="25" spans="2:26" x14ac:dyDescent="0.2">
      <c r="B25" s="145" t="s">
        <v>418</v>
      </c>
      <c r="C25" s="145">
        <v>345.76</v>
      </c>
      <c r="D25" s="8"/>
      <c r="E25" s="146" t="s">
        <v>292</v>
      </c>
      <c r="F25" s="146" t="s">
        <v>419</v>
      </c>
      <c r="G25" s="146" t="s">
        <v>420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 t="s">
        <v>421</v>
      </c>
      <c r="Y25">
        <v>329</v>
      </c>
      <c r="Z25">
        <v>534</v>
      </c>
    </row>
    <row r="26" spans="2:26" x14ac:dyDescent="0.2">
      <c r="B26" s="145" t="s">
        <v>422</v>
      </c>
      <c r="C26" s="145">
        <v>326.08</v>
      </c>
      <c r="D26" s="8"/>
      <c r="E26" s="147">
        <v>2020</v>
      </c>
      <c r="F26" s="148">
        <v>3802</v>
      </c>
      <c r="G26" s="14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 t="s">
        <v>423</v>
      </c>
      <c r="Y26">
        <v>333</v>
      </c>
      <c r="Z26">
        <v>587</v>
      </c>
    </row>
    <row r="27" spans="2:26" x14ac:dyDescent="0.2">
      <c r="B27" s="145" t="s">
        <v>424</v>
      </c>
      <c r="C27" s="145">
        <v>321.33</v>
      </c>
      <c r="D27" s="8"/>
      <c r="E27" s="147">
        <v>2021</v>
      </c>
      <c r="F27" s="148">
        <v>3930</v>
      </c>
      <c r="G27" s="149"/>
      <c r="H27" s="8"/>
      <c r="I27" s="8"/>
      <c r="J27" s="8"/>
      <c r="K27" s="8"/>
      <c r="L27" s="9" t="s">
        <v>425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2:26" x14ac:dyDescent="0.2">
      <c r="B28" s="145" t="s">
        <v>426</v>
      </c>
      <c r="C28" s="145">
        <v>312.76</v>
      </c>
      <c r="D28" s="8"/>
      <c r="E28" s="147">
        <v>2022</v>
      </c>
      <c r="F28" s="148">
        <v>4023</v>
      </c>
      <c r="G28" s="149"/>
      <c r="H28" s="8"/>
      <c r="I28" s="8"/>
      <c r="J28" s="8"/>
      <c r="K28" s="8"/>
      <c r="L28" s="8" t="s">
        <v>400</v>
      </c>
      <c r="M28" s="8" t="s">
        <v>427</v>
      </c>
      <c r="N28" s="8" t="s">
        <v>428</v>
      </c>
      <c r="O28" s="8" t="s">
        <v>429</v>
      </c>
      <c r="P28" s="8" t="s">
        <v>430</v>
      </c>
      <c r="Q28" s="8"/>
      <c r="R28" s="8"/>
      <c r="S28" s="8"/>
      <c r="T28" s="8"/>
      <c r="U28" s="8"/>
      <c r="V28" s="8"/>
      <c r="W28" s="8"/>
      <c r="X28" s="8"/>
    </row>
    <row r="29" spans="2:26" x14ac:dyDescent="0.2">
      <c r="B29" s="145" t="s">
        <v>431</v>
      </c>
      <c r="C29" s="145">
        <v>328.65</v>
      </c>
      <c r="D29" s="8"/>
      <c r="E29" s="147">
        <v>2023</v>
      </c>
      <c r="F29" s="148">
        <v>4178</v>
      </c>
      <c r="G29" s="149"/>
      <c r="H29" s="8"/>
      <c r="I29" s="8"/>
      <c r="J29" s="8"/>
      <c r="K29" s="8"/>
      <c r="L29" s="8" t="s">
        <v>402</v>
      </c>
      <c r="M29" s="150">
        <v>1977</v>
      </c>
      <c r="N29" s="8">
        <v>285</v>
      </c>
      <c r="O29" s="8">
        <v>6.94</v>
      </c>
      <c r="P29" s="8" t="s">
        <v>432</v>
      </c>
      <c r="Q29" s="8"/>
      <c r="R29" s="8"/>
      <c r="S29" s="8"/>
      <c r="T29" s="8"/>
      <c r="U29" s="8"/>
      <c r="V29" s="8"/>
      <c r="W29" s="8"/>
      <c r="X29" s="8"/>
    </row>
    <row r="30" spans="2:26" x14ac:dyDescent="0.2">
      <c r="B30" s="145" t="s">
        <v>433</v>
      </c>
      <c r="C30" s="145">
        <v>330.07</v>
      </c>
      <c r="D30" s="8"/>
      <c r="E30" s="147">
        <v>2024</v>
      </c>
      <c r="F30" s="148">
        <v>4300</v>
      </c>
      <c r="G30" s="149"/>
      <c r="H30" s="8"/>
      <c r="I30" s="8"/>
      <c r="J30" s="8"/>
      <c r="K30" s="8"/>
      <c r="L30" s="8" t="s">
        <v>403</v>
      </c>
      <c r="M30" s="150">
        <v>1938</v>
      </c>
      <c r="N30" s="8">
        <v>150</v>
      </c>
      <c r="O30" s="8">
        <v>12.92</v>
      </c>
      <c r="P30" s="8" t="s">
        <v>434</v>
      </c>
      <c r="Q30" s="8"/>
      <c r="R30" s="8"/>
      <c r="S30" s="8"/>
      <c r="T30" s="8"/>
      <c r="U30" s="8"/>
      <c r="V30" s="8"/>
      <c r="W30" s="8"/>
      <c r="X30" s="8"/>
    </row>
    <row r="31" spans="2:26" x14ac:dyDescent="0.2">
      <c r="B31" s="145" t="s">
        <v>435</v>
      </c>
      <c r="C31" s="145">
        <v>324.08999999999997</v>
      </c>
      <c r="D31" s="8"/>
      <c r="E31" s="147">
        <v>2025</v>
      </c>
      <c r="F31" s="148">
        <v>4430</v>
      </c>
      <c r="G31" s="149"/>
      <c r="H31" s="8"/>
      <c r="I31" s="8"/>
      <c r="J31" s="8"/>
      <c r="K31" s="8"/>
      <c r="L31" s="8" t="s">
        <v>404</v>
      </c>
      <c r="M31" s="150">
        <v>2722</v>
      </c>
      <c r="N31" s="8">
        <v>200</v>
      </c>
      <c r="O31" s="8">
        <v>13.61</v>
      </c>
      <c r="P31" s="8" t="s">
        <v>436</v>
      </c>
      <c r="Q31" s="8"/>
      <c r="R31" s="8"/>
      <c r="S31" s="8"/>
      <c r="T31" s="8"/>
      <c r="U31" s="8"/>
      <c r="V31" s="8"/>
      <c r="W31" s="8"/>
      <c r="X31" s="8"/>
    </row>
    <row r="32" spans="2:26" x14ac:dyDescent="0.2">
      <c r="B32" s="145" t="s">
        <v>437</v>
      </c>
      <c r="C32" s="145">
        <v>327.58</v>
      </c>
      <c r="D32" s="8"/>
      <c r="E32" s="147">
        <v>2026</v>
      </c>
      <c r="F32" s="149"/>
      <c r="G32" s="151">
        <v>4650</v>
      </c>
      <c r="H32" s="8"/>
      <c r="I32" s="8"/>
      <c r="J32" s="8"/>
      <c r="K32" s="8"/>
      <c r="L32" s="8" t="s">
        <v>405</v>
      </c>
      <c r="M32" s="150">
        <v>2898</v>
      </c>
      <c r="N32" s="8">
        <v>90</v>
      </c>
      <c r="O32" s="8">
        <v>32.200000000000003</v>
      </c>
      <c r="P32" s="8" t="s">
        <v>438</v>
      </c>
      <c r="Q32" s="8"/>
      <c r="R32" s="8"/>
      <c r="S32" s="8"/>
      <c r="T32" s="8"/>
      <c r="U32" s="8"/>
      <c r="V32" s="8"/>
      <c r="W32" s="8"/>
      <c r="X32" s="8"/>
    </row>
    <row r="33" spans="2:24" x14ac:dyDescent="0.2">
      <c r="B33" s="145" t="s">
        <v>439</v>
      </c>
      <c r="C33" s="145">
        <v>328.08</v>
      </c>
      <c r="D33" s="8"/>
      <c r="E33" s="147">
        <v>2027</v>
      </c>
      <c r="F33" s="149"/>
      <c r="G33" s="151">
        <v>4880</v>
      </c>
      <c r="H33" s="8"/>
      <c r="I33" s="8"/>
      <c r="J33" s="8"/>
      <c r="K33" s="8"/>
      <c r="L33" s="8" t="s">
        <v>406</v>
      </c>
      <c r="M33" s="150">
        <v>2535</v>
      </c>
      <c r="N33" s="8">
        <v>363</v>
      </c>
      <c r="O33" s="8">
        <v>6.98</v>
      </c>
      <c r="P33" s="8" t="s">
        <v>432</v>
      </c>
      <c r="Q33" s="8"/>
      <c r="R33" s="8"/>
      <c r="S33" s="8"/>
      <c r="T33" s="8"/>
      <c r="U33" s="8"/>
      <c r="V33" s="8"/>
      <c r="W33" s="8"/>
      <c r="X33" s="8"/>
    </row>
    <row r="34" spans="2:24" x14ac:dyDescent="0.2">
      <c r="B34" s="145" t="s">
        <v>440</v>
      </c>
      <c r="C34" s="145">
        <v>319.23</v>
      </c>
      <c r="D34" s="8"/>
      <c r="E34" s="147">
        <v>2028</v>
      </c>
      <c r="F34" s="149"/>
      <c r="G34" s="151">
        <v>5100</v>
      </c>
      <c r="H34" s="8"/>
      <c r="I34" s="8"/>
      <c r="J34" s="8"/>
      <c r="K34" s="8"/>
      <c r="L34" s="8" t="s">
        <v>407</v>
      </c>
      <c r="M34" s="150">
        <v>5745</v>
      </c>
      <c r="N34" s="8">
        <v>382</v>
      </c>
      <c r="O34" s="8">
        <v>15.04</v>
      </c>
      <c r="P34" s="8" t="s">
        <v>441</v>
      </c>
      <c r="Q34" s="8"/>
      <c r="R34" s="8"/>
      <c r="S34" s="8"/>
      <c r="T34" s="8"/>
      <c r="U34" s="8"/>
      <c r="V34" s="8"/>
      <c r="W34" s="8"/>
      <c r="X34" s="8"/>
    </row>
    <row r="35" spans="2:24" x14ac:dyDescent="0.2">
      <c r="B35" s="145" t="s">
        <v>442</v>
      </c>
      <c r="C35" s="145">
        <v>313.02999999999997</v>
      </c>
      <c r="D35" s="8"/>
      <c r="E35" s="147">
        <v>2029</v>
      </c>
      <c r="F35" s="149"/>
      <c r="G35" s="151">
        <v>5300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2:24" x14ac:dyDescent="0.2">
      <c r="B36" s="145" t="s">
        <v>443</v>
      </c>
      <c r="C36" s="145">
        <v>324.54000000000002</v>
      </c>
      <c r="D36" s="8"/>
      <c r="E36" s="147">
        <v>2030</v>
      </c>
      <c r="F36" s="149"/>
      <c r="G36" s="151">
        <v>5500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2:24" x14ac:dyDescent="0.2">
      <c r="B37" s="145" t="s">
        <v>444</v>
      </c>
      <c r="C37" s="145">
        <v>323.13</v>
      </c>
      <c r="D37" s="8"/>
      <c r="E37" s="8"/>
      <c r="F37" s="8"/>
      <c r="G37" s="8"/>
      <c r="H37" s="8"/>
      <c r="I37" s="8"/>
      <c r="J37" s="8"/>
      <c r="K37" s="8"/>
      <c r="L37" s="8" t="s">
        <v>400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2:24" x14ac:dyDescent="0.2">
      <c r="B38" s="145" t="s">
        <v>445</v>
      </c>
      <c r="C38" s="145">
        <v>328.29</v>
      </c>
      <c r="D38" s="8"/>
      <c r="E38" s="8"/>
      <c r="F38" s="8"/>
      <c r="G38" s="8"/>
      <c r="H38" s="8"/>
      <c r="I38" s="8"/>
      <c r="J38" s="8"/>
      <c r="K38" s="8"/>
      <c r="L38" s="8" t="s">
        <v>403</v>
      </c>
      <c r="M38" s="8">
        <v>2.6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2:24" x14ac:dyDescent="0.2">
      <c r="B39" s="145" t="s">
        <v>446</v>
      </c>
      <c r="C39" s="145">
        <v>315.77</v>
      </c>
      <c r="D39" s="8"/>
      <c r="E39" s="8"/>
      <c r="F39" s="8"/>
      <c r="G39" s="8"/>
      <c r="H39" s="8"/>
      <c r="I39" s="8"/>
      <c r="J39" s="8"/>
      <c r="K39" s="8"/>
      <c r="L39" s="8" t="s">
        <v>404</v>
      </c>
      <c r="M39" s="8">
        <v>2.6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2:24" x14ac:dyDescent="0.2">
      <c r="B40" s="145" t="s">
        <v>447</v>
      </c>
      <c r="C40" s="145">
        <v>311.02</v>
      </c>
      <c r="D40" s="8"/>
      <c r="E40" s="8"/>
      <c r="F40" s="8"/>
      <c r="G40" s="8"/>
      <c r="H40" s="8"/>
      <c r="I40" s="8"/>
      <c r="J40" s="8"/>
      <c r="K40" s="8"/>
      <c r="L40" s="8" t="s">
        <v>405</v>
      </c>
      <c r="M40" s="8">
        <v>2.7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145" t="s">
        <v>448</v>
      </c>
      <c r="C41" s="145">
        <v>302.97000000000003</v>
      </c>
      <c r="D41" s="8"/>
      <c r="E41" s="8"/>
      <c r="F41" s="8"/>
      <c r="G41" s="8"/>
      <c r="H41" s="8"/>
      <c r="I41" s="8"/>
      <c r="J41" s="8"/>
      <c r="K41" s="8"/>
      <c r="L41" s="8" t="s">
        <v>407</v>
      </c>
      <c r="M41" s="8">
        <v>3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145" t="s">
        <v>449</v>
      </c>
      <c r="C42" s="145">
        <v>340.07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145" t="s">
        <v>450</v>
      </c>
      <c r="C43" s="145">
        <v>338.6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145" t="s">
        <v>451</v>
      </c>
      <c r="C44" s="145">
        <v>327.14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145" t="s">
        <v>452</v>
      </c>
      <c r="C45" s="145">
        <v>317.60000000000002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145" t="s">
        <v>453</v>
      </c>
      <c r="C46" s="145">
        <v>316.14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145" t="s">
        <v>454</v>
      </c>
      <c r="C47" s="145">
        <v>311.45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2">
      <c r="B48" s="145" t="s">
        <v>455</v>
      </c>
      <c r="C48" s="145">
        <v>316.22000000000003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2:24" x14ac:dyDescent="0.2">
      <c r="B49" s="145" t="s">
        <v>456</v>
      </c>
      <c r="C49" s="145">
        <v>331.58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2:24" x14ac:dyDescent="0.2">
      <c r="B50" s="145" t="s">
        <v>457</v>
      </c>
      <c r="C50" s="145">
        <v>335.11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2:24" x14ac:dyDescent="0.2">
      <c r="B51" s="145" t="s">
        <v>458</v>
      </c>
      <c r="C51" s="145">
        <v>320.56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2:24" x14ac:dyDescent="0.2">
      <c r="B52" s="145" t="s">
        <v>459</v>
      </c>
      <c r="C52" s="145">
        <v>334.86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2:24" x14ac:dyDescent="0.2">
      <c r="B53" s="145" t="s">
        <v>460</v>
      </c>
      <c r="C53" s="145">
        <v>336.57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2:24" x14ac:dyDescent="0.2">
      <c r="B54" s="145" t="s">
        <v>461</v>
      </c>
      <c r="C54" s="145">
        <v>341.39</v>
      </c>
      <c r="D54" s="8"/>
      <c r="E54" s="8"/>
      <c r="F54" s="8"/>
      <c r="G54" s="8"/>
      <c r="H54" s="8"/>
      <c r="I54" s="8"/>
      <c r="J54" s="8"/>
      <c r="K54" s="8" t="s">
        <v>462</v>
      </c>
      <c r="L54" s="144">
        <v>0.25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2:24" x14ac:dyDescent="0.2">
      <c r="B55" s="145" t="s">
        <v>463</v>
      </c>
      <c r="C55" s="145">
        <v>353.24</v>
      </c>
      <c r="D55" s="8"/>
      <c r="E55" s="8"/>
      <c r="F55" s="8"/>
      <c r="G55" s="8"/>
      <c r="H55" s="8"/>
      <c r="I55" s="8"/>
      <c r="J55" s="8"/>
      <c r="K55" s="8" t="s">
        <v>464</v>
      </c>
      <c r="L55" s="144">
        <v>0.25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2:24" x14ac:dyDescent="0.2">
      <c r="B56" s="145" t="s">
        <v>465</v>
      </c>
      <c r="C56" s="145">
        <v>370.97</v>
      </c>
      <c r="D56" s="8"/>
      <c r="E56" s="8"/>
      <c r="F56" s="8"/>
      <c r="G56" s="8"/>
      <c r="H56" s="8"/>
      <c r="I56" s="8"/>
      <c r="J56" s="8"/>
      <c r="K56" s="8" t="s">
        <v>466</v>
      </c>
      <c r="L56" s="144">
        <v>0.25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2:24" x14ac:dyDescent="0.2">
      <c r="B57" s="145" t="s">
        <v>467</v>
      </c>
      <c r="C57" s="145">
        <v>390.05</v>
      </c>
      <c r="D57" s="8"/>
      <c r="E57" s="8" t="s">
        <v>292</v>
      </c>
      <c r="F57" s="8" t="s">
        <v>468</v>
      </c>
      <c r="G57" s="8" t="s">
        <v>469</v>
      </c>
      <c r="H57" s="8"/>
      <c r="I57" s="8"/>
      <c r="J57" s="8"/>
      <c r="K57" s="8" t="s">
        <v>470</v>
      </c>
      <c r="L57" s="144">
        <v>0.25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2:24" x14ac:dyDescent="0.2">
      <c r="B58" s="145" t="s">
        <v>471</v>
      </c>
      <c r="C58" s="145">
        <v>391.43</v>
      </c>
      <c r="D58" s="8"/>
      <c r="E58" s="8">
        <v>2026</v>
      </c>
      <c r="F58" s="144">
        <v>0.9</v>
      </c>
      <c r="G58" s="144">
        <v>0.1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2:24" x14ac:dyDescent="0.2">
      <c r="B59" s="145" t="s">
        <v>472</v>
      </c>
      <c r="C59" s="145">
        <v>375.24</v>
      </c>
      <c r="D59" s="8"/>
      <c r="E59" s="8">
        <v>2027</v>
      </c>
      <c r="F59" s="144">
        <v>0.4</v>
      </c>
      <c r="G59" s="144">
        <v>0.6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2:24" x14ac:dyDescent="0.2">
      <c r="B60" s="145" t="s">
        <v>473</v>
      </c>
      <c r="C60" s="145">
        <v>367.84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2:24" x14ac:dyDescent="0.2">
      <c r="B61" s="145" t="s">
        <v>474</v>
      </c>
      <c r="C61" s="145">
        <v>382.25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2:24" x14ac:dyDescent="0.2">
      <c r="B62" s="145" t="s">
        <v>475</v>
      </c>
      <c r="C62" s="145">
        <v>380.06</v>
      </c>
      <c r="D62" s="8"/>
      <c r="F62" s="8">
        <v>2026</v>
      </c>
      <c r="G62" s="8">
        <v>2027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2:24" x14ac:dyDescent="0.2">
      <c r="B63" s="145" t="s">
        <v>476</v>
      </c>
      <c r="C63" s="145">
        <v>380.29</v>
      </c>
      <c r="D63" s="8"/>
      <c r="E63" t="s">
        <v>477</v>
      </c>
      <c r="F63" s="144">
        <v>0.9</v>
      </c>
      <c r="G63" s="144">
        <v>0.4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2:24" x14ac:dyDescent="0.2">
      <c r="B64" s="145" t="s">
        <v>478</v>
      </c>
      <c r="C64" s="145">
        <v>388.28</v>
      </c>
      <c r="D64" s="8"/>
      <c r="E64" t="s">
        <v>479</v>
      </c>
      <c r="F64" s="144">
        <v>0.1</v>
      </c>
      <c r="G64" s="144">
        <v>0.6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2:24" x14ac:dyDescent="0.2">
      <c r="B65" s="145" t="s">
        <v>480</v>
      </c>
      <c r="C65" s="145">
        <v>376.7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2:24" x14ac:dyDescent="0.2">
      <c r="B66" s="145" t="s">
        <v>481</v>
      </c>
      <c r="C66" s="145">
        <v>367.81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2:24" x14ac:dyDescent="0.2">
      <c r="B67" s="145" t="s">
        <v>482</v>
      </c>
      <c r="C67" s="145">
        <v>354.62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2:24" x14ac:dyDescent="0.2">
      <c r="B68" s="145" t="s">
        <v>483</v>
      </c>
      <c r="C68" s="145">
        <v>357.93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2:24" x14ac:dyDescent="0.2">
      <c r="B69" s="145" t="s">
        <v>484</v>
      </c>
      <c r="C69" s="145">
        <v>353.66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2:24" x14ac:dyDescent="0.2">
      <c r="B70" s="145" t="s">
        <v>485</v>
      </c>
      <c r="C70" s="145">
        <v>345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2:24" x14ac:dyDescent="0.2">
      <c r="B71" s="145" t="s">
        <v>486</v>
      </c>
      <c r="C71" s="145">
        <v>324.63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2:24" x14ac:dyDescent="0.2">
      <c r="B72" s="145" t="s">
        <v>487</v>
      </c>
      <c r="C72" s="145">
        <v>317.05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2:24" x14ac:dyDescent="0.2">
      <c r="B73" s="145" t="s">
        <v>488</v>
      </c>
      <c r="C73" s="145">
        <v>341.42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2:24" x14ac:dyDescent="0.2">
      <c r="B74" s="145" t="s">
        <v>489</v>
      </c>
      <c r="C74" s="145">
        <v>340.8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2:24" x14ac:dyDescent="0.2">
      <c r="B75" s="145" t="s">
        <v>490</v>
      </c>
      <c r="C75" s="145">
        <v>348.36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2:24" x14ac:dyDescent="0.2">
      <c r="B76" s="145" t="s">
        <v>491</v>
      </c>
      <c r="C76" s="145">
        <v>362.2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2:24" x14ac:dyDescent="0.2">
      <c r="B77" s="145" t="s">
        <v>492</v>
      </c>
      <c r="C77" s="145">
        <v>365.17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2:24" x14ac:dyDescent="0.2">
      <c r="B78" s="145" t="s">
        <v>493</v>
      </c>
      <c r="C78" s="145">
        <v>359.51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2:24" x14ac:dyDescent="0.2">
      <c r="B79" s="145" t="s">
        <v>494</v>
      </c>
      <c r="C79" s="145">
        <v>350.41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2:24" x14ac:dyDescent="0.2">
      <c r="B80" s="145" t="s">
        <v>495</v>
      </c>
      <c r="C80" s="145">
        <v>366.43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2:24" x14ac:dyDescent="0.2">
      <c r="B81" s="145" t="s">
        <v>496</v>
      </c>
      <c r="C81" s="145">
        <v>379.86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2:24" x14ac:dyDescent="0.2">
      <c r="B82" s="145" t="s">
        <v>497</v>
      </c>
      <c r="C82" s="145">
        <v>374.31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2:24" x14ac:dyDescent="0.2">
      <c r="B83" s="145" t="s">
        <v>498</v>
      </c>
      <c r="C83" s="145">
        <v>356.66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2:24" x14ac:dyDescent="0.2">
      <c r="B84" s="145" t="s">
        <v>499</v>
      </c>
      <c r="C84" s="145">
        <v>371.66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2:24" x14ac:dyDescent="0.2">
      <c r="B85" s="145" t="s">
        <v>500</v>
      </c>
      <c r="C85" s="145">
        <v>419.07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2:24" x14ac:dyDescent="0.2">
      <c r="B86" s="145" t="s">
        <v>501</v>
      </c>
      <c r="C86" s="145">
        <v>374.83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2:24" x14ac:dyDescent="0.2">
      <c r="B87" s="145" t="s">
        <v>502</v>
      </c>
      <c r="C87" s="145">
        <v>376.86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2:24" x14ac:dyDescent="0.2">
      <c r="B88" s="145" t="s">
        <v>503</v>
      </c>
      <c r="C88" s="145">
        <v>369.03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2:24" x14ac:dyDescent="0.2">
      <c r="B89" s="145" t="s">
        <v>504</v>
      </c>
      <c r="C89" s="145">
        <v>370.83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2:24" x14ac:dyDescent="0.2">
      <c r="B90" s="145" t="s">
        <v>505</v>
      </c>
      <c r="C90" s="145">
        <v>356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2:24" x14ac:dyDescent="0.2">
      <c r="B91" s="145" t="s">
        <v>506</v>
      </c>
      <c r="C91" s="145">
        <v>374.71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2:24" x14ac:dyDescent="0.2">
      <c r="B92" s="145" t="s">
        <v>507</v>
      </c>
      <c r="C92" s="145">
        <v>393.18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2:24" x14ac:dyDescent="0.2">
      <c r="B93" s="145" t="s">
        <v>508</v>
      </c>
      <c r="C93" s="145">
        <v>395.2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2:24" x14ac:dyDescent="0.2">
      <c r="B94" s="145" t="s">
        <v>509</v>
      </c>
      <c r="C94" s="145">
        <v>396.73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2:24" x14ac:dyDescent="0.2">
      <c r="B95" s="145" t="s">
        <v>510</v>
      </c>
      <c r="C95" s="145">
        <v>374.84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2:24" x14ac:dyDescent="0.2">
      <c r="B96" s="145" t="s">
        <v>511</v>
      </c>
      <c r="C96" s="145">
        <v>378.97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2:24" x14ac:dyDescent="0.2">
      <c r="B97" s="145" t="s">
        <v>512</v>
      </c>
      <c r="C97" s="145">
        <v>380.27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2:24" x14ac:dyDescent="0.2">
      <c r="B98" s="145" t="s">
        <v>513</v>
      </c>
      <c r="C98" s="145">
        <v>384.52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2:24" x14ac:dyDescent="0.2">
      <c r="B99" s="145" t="s">
        <v>514</v>
      </c>
      <c r="C99" s="145">
        <v>383.58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2:24" x14ac:dyDescent="0.2">
      <c r="B100" s="145" t="s">
        <v>515</v>
      </c>
      <c r="C100" s="145">
        <v>380.75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2:24" x14ac:dyDescent="0.2">
      <c r="B101" s="145" t="s">
        <v>516</v>
      </c>
      <c r="C101" s="145">
        <v>378.85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2:24" x14ac:dyDescent="0.2">
      <c r="B102" s="145" t="s">
        <v>517</v>
      </c>
      <c r="C102" s="145">
        <v>372.25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2:24" x14ac:dyDescent="0.2">
      <c r="B103" s="145" t="s">
        <v>518</v>
      </c>
      <c r="C103" s="145">
        <v>371.72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2:24" x14ac:dyDescent="0.2">
      <c r="B104" s="145" t="s">
        <v>519</v>
      </c>
      <c r="C104" s="145">
        <v>351.96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2:24" x14ac:dyDescent="0.2">
      <c r="B105" s="145" t="s">
        <v>520</v>
      </c>
      <c r="C105" s="145">
        <v>376.77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2:24" x14ac:dyDescent="0.2">
      <c r="B106" s="145" t="s">
        <v>521</v>
      </c>
      <c r="C106" s="145">
        <v>357.94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2:24" x14ac:dyDescent="0.2">
      <c r="B107" s="145" t="s">
        <v>522</v>
      </c>
      <c r="C107" s="145">
        <v>356.36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2:24" x14ac:dyDescent="0.2">
      <c r="B108" s="145" t="s">
        <v>523</v>
      </c>
      <c r="C108" s="145">
        <v>368.82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2:24" x14ac:dyDescent="0.2">
      <c r="B109" s="145" t="s">
        <v>524</v>
      </c>
      <c r="C109" s="145">
        <v>358.5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2:24" x14ac:dyDescent="0.2">
      <c r="B110" s="145" t="s">
        <v>525</v>
      </c>
      <c r="C110" s="145">
        <v>348.38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2:24" x14ac:dyDescent="0.2">
      <c r="B111" s="145" t="s">
        <v>526</v>
      </c>
      <c r="C111" s="145">
        <v>353.38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2:24" x14ac:dyDescent="0.2">
      <c r="B112" s="145" t="s">
        <v>527</v>
      </c>
      <c r="C112" s="145">
        <v>354.24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2:24" x14ac:dyDescent="0.2">
      <c r="B113" s="145" t="s">
        <v>528</v>
      </c>
      <c r="C113" s="145">
        <v>367.93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2:24" x14ac:dyDescent="0.2">
      <c r="B114" s="145" t="s">
        <v>529</v>
      </c>
      <c r="C114" s="145">
        <v>365.46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2:24" x14ac:dyDescent="0.2">
      <c r="B115" s="145" t="s">
        <v>530</v>
      </c>
      <c r="C115" s="145">
        <v>367.96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2:24" x14ac:dyDescent="0.2">
      <c r="B116" s="145" t="s">
        <v>531</v>
      </c>
      <c r="C116" s="145">
        <v>379.99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2:24" x14ac:dyDescent="0.2">
      <c r="B117" s="145" t="s">
        <v>532</v>
      </c>
      <c r="C117" s="145">
        <v>394.27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2:24" x14ac:dyDescent="0.2">
      <c r="B118" s="145" t="s">
        <v>533</v>
      </c>
      <c r="C118" s="145">
        <v>392.42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2:24" x14ac:dyDescent="0.2">
      <c r="B119" s="145" t="s">
        <v>534</v>
      </c>
      <c r="C119" s="145">
        <v>378.99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2:24" x14ac:dyDescent="0.2">
      <c r="B120" s="145" t="s">
        <v>535</v>
      </c>
      <c r="C120" s="145">
        <v>380.49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2:24" x14ac:dyDescent="0.2">
      <c r="B121" s="145" t="s">
        <v>536</v>
      </c>
      <c r="C121" s="145">
        <v>365.96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2:24" x14ac:dyDescent="0.2">
      <c r="B122" s="145" t="s">
        <v>537</v>
      </c>
      <c r="C122" s="145">
        <v>369.1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2:24" x14ac:dyDescent="0.2">
      <c r="B123" s="145" t="s">
        <v>538</v>
      </c>
      <c r="C123" s="145">
        <v>390.51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2:24" x14ac:dyDescent="0.2">
      <c r="B124" s="145" t="s">
        <v>539</v>
      </c>
      <c r="C124" s="145">
        <v>374.8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2:24" x14ac:dyDescent="0.2">
      <c r="B125" s="145" t="s">
        <v>540</v>
      </c>
      <c r="C125" s="145">
        <v>368.65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2:24" x14ac:dyDescent="0.2">
      <c r="B126" s="145" t="s">
        <v>541</v>
      </c>
      <c r="C126" s="145">
        <v>360.92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2:24" x14ac:dyDescent="0.2">
      <c r="B127" s="145" t="s">
        <v>542</v>
      </c>
      <c r="C127" s="145">
        <v>355.04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2:24" x14ac:dyDescent="0.2">
      <c r="B128" s="145" t="s">
        <v>543</v>
      </c>
      <c r="C128" s="145">
        <v>367.54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2:24" x14ac:dyDescent="0.2">
      <c r="B129" s="145" t="s">
        <v>544</v>
      </c>
      <c r="C129" s="145">
        <v>374.55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2:24" x14ac:dyDescent="0.2">
      <c r="B130" s="145" t="s">
        <v>545</v>
      </c>
      <c r="C130" s="145">
        <v>393.63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2:24" x14ac:dyDescent="0.2">
      <c r="B131" s="145" t="s">
        <v>546</v>
      </c>
      <c r="C131" s="145">
        <v>386.57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2:24" x14ac:dyDescent="0.2">
      <c r="B132" s="145" t="s">
        <v>547</v>
      </c>
      <c r="C132" s="145">
        <v>385.93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2:24" x14ac:dyDescent="0.2">
      <c r="B133" s="145" t="s">
        <v>548</v>
      </c>
      <c r="C133" s="145">
        <v>403.49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2:24" x14ac:dyDescent="0.2">
      <c r="B134" s="145" t="s">
        <v>549</v>
      </c>
      <c r="C134" s="145">
        <v>395.25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2:24" x14ac:dyDescent="0.2">
      <c r="B135" s="145" t="s">
        <v>550</v>
      </c>
      <c r="C135" s="145">
        <v>413.54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2:24" x14ac:dyDescent="0.2">
      <c r="B136" s="145" t="s">
        <v>551</v>
      </c>
      <c r="C136" s="145">
        <v>399.78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2:24" x14ac:dyDescent="0.2">
      <c r="B137" s="145" t="s">
        <v>552</v>
      </c>
      <c r="C137" s="145">
        <v>391.82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2:24" x14ac:dyDescent="0.2">
      <c r="B138" s="145" t="s">
        <v>553</v>
      </c>
      <c r="C138" s="145">
        <v>398.55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2:24" x14ac:dyDescent="0.2">
      <c r="B139" s="145" t="s">
        <v>554</v>
      </c>
      <c r="C139" s="145">
        <v>394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2:24" x14ac:dyDescent="0.2">
      <c r="B140" s="145" t="s">
        <v>555</v>
      </c>
      <c r="C140" s="145">
        <v>407.12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2:24" x14ac:dyDescent="0.2">
      <c r="B141" s="145" t="s">
        <v>556</v>
      </c>
      <c r="C141" s="145">
        <v>407.81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2:24" x14ac:dyDescent="0.2">
      <c r="B142" s="145" t="s">
        <v>557</v>
      </c>
      <c r="C142" s="145">
        <v>383.82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2:24" x14ac:dyDescent="0.2">
      <c r="B143" s="145" t="s">
        <v>558</v>
      </c>
      <c r="C143" s="145">
        <v>380.69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2:24" x14ac:dyDescent="0.2">
      <c r="B144" s="145" t="s">
        <v>559</v>
      </c>
      <c r="C144" s="145">
        <v>382.09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2:24" x14ac:dyDescent="0.2">
      <c r="B145" s="145" t="s">
        <v>560</v>
      </c>
      <c r="C145" s="145">
        <v>406.84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2:24" x14ac:dyDescent="0.2">
      <c r="B146" s="145" t="s">
        <v>561</v>
      </c>
      <c r="C146" s="145">
        <v>406.45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2:24" x14ac:dyDescent="0.2">
      <c r="B147" s="145" t="s">
        <v>562</v>
      </c>
      <c r="C147" s="145">
        <v>418.03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2:24" x14ac:dyDescent="0.2">
      <c r="B148" s="145" t="s">
        <v>563</v>
      </c>
      <c r="C148" s="145">
        <v>415.81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2:24" x14ac:dyDescent="0.2">
      <c r="B149" s="145" t="s">
        <v>564</v>
      </c>
      <c r="C149" s="145">
        <v>417.75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2:24" x14ac:dyDescent="0.2">
      <c r="B150" s="145" t="s">
        <v>565</v>
      </c>
      <c r="C150" s="145">
        <v>435.83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2:24" x14ac:dyDescent="0.2">
      <c r="B151" s="145" t="s">
        <v>566</v>
      </c>
      <c r="C151" s="145">
        <v>412.83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2:24" x14ac:dyDescent="0.2">
      <c r="B152" s="145" t="s">
        <v>567</v>
      </c>
      <c r="C152" s="145">
        <v>444.5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2:24" x14ac:dyDescent="0.2">
      <c r="B153" s="145" t="s">
        <v>568</v>
      </c>
      <c r="C153" s="145">
        <v>445.84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2:24" x14ac:dyDescent="0.2">
      <c r="B154" s="145" t="s">
        <v>569</v>
      </c>
      <c r="C154" s="145">
        <v>431.04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2:24" x14ac:dyDescent="0.2">
      <c r="B155" s="145" t="s">
        <v>570</v>
      </c>
      <c r="C155" s="145">
        <v>430.43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2:24" x14ac:dyDescent="0.2">
      <c r="B156" s="145" t="s">
        <v>571</v>
      </c>
      <c r="C156" s="145">
        <v>438.5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2:24" x14ac:dyDescent="0.2">
      <c r="B157" s="145" t="s">
        <v>572</v>
      </c>
      <c r="C157" s="145">
        <v>434.07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2:24" x14ac:dyDescent="0.2">
      <c r="B158" s="145" t="s">
        <v>573</v>
      </c>
      <c r="C158" s="145">
        <v>426.99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2:24" x14ac:dyDescent="0.2">
      <c r="B159" s="145" t="s">
        <v>574</v>
      </c>
      <c r="C159" s="145">
        <v>425.38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2:24" x14ac:dyDescent="0.2">
      <c r="B160" s="145" t="s">
        <v>575</v>
      </c>
      <c r="C160" s="145">
        <v>420.7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2:24" x14ac:dyDescent="0.2">
      <c r="B161" s="145" t="s">
        <v>576</v>
      </c>
      <c r="C161" s="145">
        <v>411.23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2:24" x14ac:dyDescent="0.2">
      <c r="B162" s="145" t="s">
        <v>577</v>
      </c>
      <c r="C162" s="145">
        <v>410.72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2:24" x14ac:dyDescent="0.2">
      <c r="B163" s="145" t="s">
        <v>578</v>
      </c>
      <c r="C163" s="145">
        <v>416.94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2:24" x14ac:dyDescent="0.2">
      <c r="B164" s="145" t="s">
        <v>579</v>
      </c>
      <c r="C164" s="145">
        <v>423.13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2:24" x14ac:dyDescent="0.2">
      <c r="B165" s="145" t="s">
        <v>580</v>
      </c>
      <c r="C165" s="145">
        <v>429.72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2:24" x14ac:dyDescent="0.2">
      <c r="B166" s="145" t="s">
        <v>581</v>
      </c>
      <c r="C166" s="145">
        <v>423.56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2:24" x14ac:dyDescent="0.2">
      <c r="B167" s="145" t="s">
        <v>582</v>
      </c>
      <c r="C167" s="145">
        <v>415.25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2:24" x14ac:dyDescent="0.2">
      <c r="B168" s="145" t="s">
        <v>583</v>
      </c>
      <c r="C168" s="145">
        <v>408.09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2:24" x14ac:dyDescent="0.2">
      <c r="B169" s="145" t="s">
        <v>584</v>
      </c>
      <c r="C169" s="145">
        <v>409.6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2:24" x14ac:dyDescent="0.2">
      <c r="B170" s="145" t="s">
        <v>585</v>
      </c>
      <c r="C170" s="145">
        <v>405.45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2:24" x14ac:dyDescent="0.2">
      <c r="B171" s="145" t="s">
        <v>586</v>
      </c>
      <c r="C171" s="145">
        <v>402.53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2:24" x14ac:dyDescent="0.2">
      <c r="B172" s="145" t="s">
        <v>587</v>
      </c>
      <c r="C172" s="145">
        <v>400.92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2:24" x14ac:dyDescent="0.2">
      <c r="B173" s="145" t="s">
        <v>588</v>
      </c>
      <c r="C173" s="145">
        <v>402.65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2:24" x14ac:dyDescent="0.2">
      <c r="B174" s="145" t="s">
        <v>589</v>
      </c>
      <c r="C174" s="145">
        <v>389.43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2:24" x14ac:dyDescent="0.2">
      <c r="B175" s="145" t="s">
        <v>590</v>
      </c>
      <c r="C175" s="145">
        <v>383.49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2:24" x14ac:dyDescent="0.2">
      <c r="B176" s="145" t="s">
        <v>591</v>
      </c>
      <c r="C176" s="145">
        <v>389.19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2:24" x14ac:dyDescent="0.2">
      <c r="B177" s="145" t="s">
        <v>592</v>
      </c>
      <c r="C177" s="145">
        <v>380.44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2:24" x14ac:dyDescent="0.2">
      <c r="B178" s="145" t="s">
        <v>593</v>
      </c>
      <c r="C178" s="145">
        <v>377.76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2:24" x14ac:dyDescent="0.2">
      <c r="B179" s="145" t="s">
        <v>594</v>
      </c>
      <c r="C179" s="145">
        <v>375.15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2:24" x14ac:dyDescent="0.2">
      <c r="B180" s="145" t="s">
        <v>595</v>
      </c>
      <c r="C180" s="145">
        <v>378.92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2:24" x14ac:dyDescent="0.2">
      <c r="B181" s="145" t="s">
        <v>596</v>
      </c>
      <c r="C181" s="145">
        <v>388.22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2:24" x14ac:dyDescent="0.2">
      <c r="B182" s="145" t="s">
        <v>597</v>
      </c>
      <c r="C182" s="145">
        <v>381.5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2:24" x14ac:dyDescent="0.2">
      <c r="B183" s="145" t="s">
        <v>598</v>
      </c>
      <c r="C183" s="145">
        <v>378.79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2:24" x14ac:dyDescent="0.2">
      <c r="B184" s="145" t="s">
        <v>599</v>
      </c>
      <c r="C184" s="145">
        <v>355.53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2:24" x14ac:dyDescent="0.2">
      <c r="B185" s="145" t="s">
        <v>600</v>
      </c>
      <c r="C185" s="145">
        <v>356.11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2:24" x14ac:dyDescent="0.2">
      <c r="B186" s="145" t="s">
        <v>601</v>
      </c>
      <c r="C186" s="145">
        <v>357.86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2:24" x14ac:dyDescent="0.2">
      <c r="B187" s="145" t="s">
        <v>602</v>
      </c>
      <c r="C187" s="145">
        <v>360.1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2:24" x14ac:dyDescent="0.2">
      <c r="B188" s="145" t="s">
        <v>603</v>
      </c>
      <c r="C188" s="145">
        <v>368.16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2:24" x14ac:dyDescent="0.2">
      <c r="B189" s="145" t="s">
        <v>604</v>
      </c>
      <c r="C189" s="145">
        <v>376.89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2:24" x14ac:dyDescent="0.2">
      <c r="B190" s="145" t="s">
        <v>605</v>
      </c>
      <c r="C190" s="145">
        <v>377.82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2:24" x14ac:dyDescent="0.2">
      <c r="B191" s="145" t="s">
        <v>606</v>
      </c>
      <c r="C191" s="145">
        <v>380.6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2:24" x14ac:dyDescent="0.2">
      <c r="B192" s="145" t="s">
        <v>607</v>
      </c>
      <c r="C192" s="145">
        <v>380.25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2:24" x14ac:dyDescent="0.2">
      <c r="B193" s="145" t="s">
        <v>608</v>
      </c>
      <c r="C193" s="145">
        <v>380.61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2:24" x14ac:dyDescent="0.2">
      <c r="B194" s="145" t="s">
        <v>609</v>
      </c>
      <c r="C194" s="145">
        <v>369.95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2:24" x14ac:dyDescent="0.2">
      <c r="B195" s="145" t="s">
        <v>610</v>
      </c>
      <c r="C195" s="145">
        <v>374.68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2:24" x14ac:dyDescent="0.2">
      <c r="B196" s="145" t="s">
        <v>611</v>
      </c>
      <c r="C196" s="145">
        <v>375.58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2:24" x14ac:dyDescent="0.2">
      <c r="B197" s="145" t="s">
        <v>612</v>
      </c>
      <c r="C197" s="145">
        <v>378.67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2:24" x14ac:dyDescent="0.2">
      <c r="B198" s="145" t="s">
        <v>613</v>
      </c>
      <c r="C198" s="145">
        <v>384.27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2:24" x14ac:dyDescent="0.2">
      <c r="B199" s="145" t="s">
        <v>614</v>
      </c>
      <c r="C199" s="145">
        <v>390.68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2:24" x14ac:dyDescent="0.2">
      <c r="B200" s="145" t="s">
        <v>615</v>
      </c>
      <c r="C200" s="145">
        <v>378.01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2:24" x14ac:dyDescent="0.2">
      <c r="B201" s="145" t="s">
        <v>616</v>
      </c>
      <c r="C201" s="145">
        <v>377.57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2:24" x14ac:dyDescent="0.2">
      <c r="B202" s="145" t="s">
        <v>617</v>
      </c>
      <c r="C202" s="145">
        <v>373.36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2:24" x14ac:dyDescent="0.2">
      <c r="B203" s="145" t="s">
        <v>618</v>
      </c>
      <c r="C203" s="145">
        <v>361.21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2:24" x14ac:dyDescent="0.2">
      <c r="B204" s="145" t="s">
        <v>619</v>
      </c>
      <c r="C204" s="145">
        <v>358.77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2:24" x14ac:dyDescent="0.2">
      <c r="B205" s="145" t="s">
        <v>620</v>
      </c>
      <c r="C205" s="145">
        <v>346.62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2:24" x14ac:dyDescent="0.2">
      <c r="B206" s="145" t="s">
        <v>621</v>
      </c>
      <c r="C206" s="145">
        <v>339.16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2:24" x14ac:dyDescent="0.2">
      <c r="B207" s="145" t="s">
        <v>622</v>
      </c>
      <c r="C207" s="145">
        <v>339.24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2:24" x14ac:dyDescent="0.2">
      <c r="B208" s="145" t="s">
        <v>623</v>
      </c>
      <c r="C208" s="145">
        <v>313.58</v>
      </c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2:24" x14ac:dyDescent="0.2">
      <c r="B209" s="145" t="s">
        <v>624</v>
      </c>
      <c r="C209" s="145">
        <v>310.14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2:24" x14ac:dyDescent="0.2">
      <c r="B210" s="145" t="s">
        <v>625</v>
      </c>
      <c r="C210" s="145">
        <v>328.63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2:24" x14ac:dyDescent="0.2">
      <c r="B211" s="145" t="s">
        <v>626</v>
      </c>
      <c r="C211" s="145">
        <v>264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2:24" x14ac:dyDescent="0.2">
      <c r="B212" s="145" t="s">
        <v>627</v>
      </c>
      <c r="C212" s="145">
        <v>264.77999999999997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2:24" x14ac:dyDescent="0.2">
      <c r="B213" s="145" t="s">
        <v>628</v>
      </c>
      <c r="C213" s="145">
        <v>268.14999999999998</v>
      </c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2:24" x14ac:dyDescent="0.2">
      <c r="B214" s="145" t="s">
        <v>629</v>
      </c>
      <c r="C214" s="145">
        <v>281.95999999999998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2:24" x14ac:dyDescent="0.2">
      <c r="B215" s="145" t="s">
        <v>630</v>
      </c>
      <c r="C215" s="145">
        <v>276.17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2:24" x14ac:dyDescent="0.2">
      <c r="B216" s="145" t="s">
        <v>631</v>
      </c>
      <c r="C216" s="145">
        <v>267.62</v>
      </c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2:24" x14ac:dyDescent="0.2">
      <c r="B217" s="145" t="s">
        <v>632</v>
      </c>
      <c r="C217" s="145">
        <v>272.14999999999998</v>
      </c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2:24" x14ac:dyDescent="0.2">
      <c r="B218" s="145" t="s">
        <v>633</v>
      </c>
      <c r="C218" s="145">
        <v>277.45999999999998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2:24" x14ac:dyDescent="0.2">
      <c r="B219" s="145" t="s">
        <v>634</v>
      </c>
      <c r="C219" s="145">
        <v>285.10000000000002</v>
      </c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2:24" x14ac:dyDescent="0.2">
      <c r="B220" s="145" t="s">
        <v>635</v>
      </c>
      <c r="C220" s="145">
        <v>286.31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2:24" x14ac:dyDescent="0.2">
      <c r="B221" s="145" t="s">
        <v>636</v>
      </c>
      <c r="C221" s="145">
        <v>276.27</v>
      </c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2:24" x14ac:dyDescent="0.2">
      <c r="B222" s="145" t="s">
        <v>637</v>
      </c>
      <c r="C222" s="145">
        <v>279.99</v>
      </c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2:24" x14ac:dyDescent="0.2">
      <c r="B223" s="145" t="s">
        <v>638</v>
      </c>
      <c r="C223" s="145">
        <v>290.77</v>
      </c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2:24" x14ac:dyDescent="0.2">
      <c r="B224" s="145" t="s">
        <v>639</v>
      </c>
      <c r="C224" s="145">
        <v>297.88</v>
      </c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2:24" x14ac:dyDescent="0.2">
      <c r="B225" s="145" t="s">
        <v>640</v>
      </c>
      <c r="C225" s="145">
        <v>291.38</v>
      </c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2:24" x14ac:dyDescent="0.2">
      <c r="B226" s="145" t="s">
        <v>641</v>
      </c>
      <c r="C226" s="145">
        <v>288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2:24" x14ac:dyDescent="0.2">
      <c r="B227" s="145" t="s">
        <v>642</v>
      </c>
      <c r="C227" s="145">
        <v>294.17</v>
      </c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2:24" x14ac:dyDescent="0.2">
      <c r="B228" s="145" t="s">
        <v>643</v>
      </c>
      <c r="C228" s="145">
        <v>291.58999999999997</v>
      </c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2:24" x14ac:dyDescent="0.2">
      <c r="B229" s="145" t="s">
        <v>644</v>
      </c>
      <c r="C229" s="145">
        <v>288.66000000000003</v>
      </c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2:24" x14ac:dyDescent="0.2">
      <c r="B230" s="145" t="s">
        <v>645</v>
      </c>
      <c r="C230" s="145">
        <v>290.38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2:24" x14ac:dyDescent="0.2">
      <c r="B231" s="145" t="s">
        <v>646</v>
      </c>
      <c r="C231" s="145">
        <v>285.88</v>
      </c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2:24" x14ac:dyDescent="0.2">
      <c r="B232" s="145" t="s">
        <v>647</v>
      </c>
      <c r="C232" s="145">
        <v>280.92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2:24" x14ac:dyDescent="0.2">
      <c r="B233" s="145" t="s">
        <v>648</v>
      </c>
      <c r="C233" s="145">
        <v>277.16000000000003</v>
      </c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2:24" x14ac:dyDescent="0.2">
      <c r="B234" s="145" t="s">
        <v>649</v>
      </c>
      <c r="C234" s="145">
        <v>274.99</v>
      </c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2:24" x14ac:dyDescent="0.2">
      <c r="B235" s="145" t="s">
        <v>650</v>
      </c>
      <c r="C235" s="145">
        <v>274.82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2:24" x14ac:dyDescent="0.2">
      <c r="B236" s="145" t="s">
        <v>651</v>
      </c>
      <c r="C236" s="145">
        <v>255.1</v>
      </c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2:24" x14ac:dyDescent="0.2">
      <c r="B237" s="145" t="s">
        <v>652</v>
      </c>
      <c r="C237" s="145">
        <v>257.02</v>
      </c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2:24" x14ac:dyDescent="0.2">
      <c r="B238" s="145" t="s">
        <v>653</v>
      </c>
      <c r="C238" s="145">
        <v>258.54000000000002</v>
      </c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2:24" x14ac:dyDescent="0.2">
      <c r="B239" s="145" t="s">
        <v>654</v>
      </c>
      <c r="C239" s="145">
        <v>255.94</v>
      </c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2:24" x14ac:dyDescent="0.2">
      <c r="B240" s="145" t="s">
        <v>655</v>
      </c>
      <c r="C240" s="145">
        <v>260</v>
      </c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2:24" x14ac:dyDescent="0.2">
      <c r="B241" s="145" t="s">
        <v>656</v>
      </c>
      <c r="C241" s="145">
        <v>255.48</v>
      </c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2:24" x14ac:dyDescent="0.2">
      <c r="B242" s="145" t="s">
        <v>657</v>
      </c>
      <c r="C242" s="145">
        <v>248.56</v>
      </c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2:24" x14ac:dyDescent="0.2">
      <c r="B243" s="145" t="s">
        <v>658</v>
      </c>
      <c r="C243" s="145">
        <v>243.95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2:24" x14ac:dyDescent="0.2">
      <c r="B244" s="145" t="s">
        <v>659</v>
      </c>
      <c r="C244" s="145">
        <v>244.69</v>
      </c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2:24" x14ac:dyDescent="0.2">
      <c r="B245" s="145" t="s">
        <v>660</v>
      </c>
      <c r="C245" s="145">
        <v>244.52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2:24" x14ac:dyDescent="0.2">
      <c r="B246" s="145" t="s">
        <v>661</v>
      </c>
      <c r="C246" s="145">
        <v>245.22</v>
      </c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2:24" x14ac:dyDescent="0.2">
      <c r="B247" s="145" t="s">
        <v>662</v>
      </c>
      <c r="C247" s="145">
        <v>243.08</v>
      </c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2:24" x14ac:dyDescent="0.2">
      <c r="B248" s="145" t="s">
        <v>663</v>
      </c>
      <c r="C248" s="145">
        <v>238.63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2:24" x14ac:dyDescent="0.2">
      <c r="B249" s="145" t="s">
        <v>664</v>
      </c>
      <c r="C249" s="145">
        <v>235.39</v>
      </c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2:24" x14ac:dyDescent="0.2">
      <c r="B250" s="145" t="s">
        <v>665</v>
      </c>
      <c r="C250" s="145">
        <v>241.21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2:24" x14ac:dyDescent="0.2">
      <c r="B251" s="145" t="s">
        <v>666</v>
      </c>
      <c r="C251" s="145">
        <v>240.3</v>
      </c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2:24" x14ac:dyDescent="0.2">
      <c r="B252" s="145" t="s">
        <v>667</v>
      </c>
      <c r="C252" s="145">
        <v>244.86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2:24" x14ac:dyDescent="0.2">
      <c r="B253" s="145" t="s">
        <v>668</v>
      </c>
      <c r="C253" s="145">
        <v>244.8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2:24" x14ac:dyDescent="0.2">
      <c r="B254" s="145" t="s">
        <v>669</v>
      </c>
      <c r="C254" s="145">
        <v>244.92</v>
      </c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2:24" x14ac:dyDescent="0.2">
      <c r="B255" s="145" t="s">
        <v>670</v>
      </c>
      <c r="C255" s="145">
        <v>241.08</v>
      </c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2:24" x14ac:dyDescent="0.2">
      <c r="B256" s="145" t="s">
        <v>671</v>
      </c>
      <c r="C256" s="145">
        <v>236.62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2:24" x14ac:dyDescent="0.2">
      <c r="B257" s="145" t="s">
        <v>672</v>
      </c>
      <c r="C257" s="145">
        <v>225.16</v>
      </c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2:24" x14ac:dyDescent="0.2">
      <c r="B258" s="145" t="s">
        <v>673</v>
      </c>
      <c r="C258" s="145">
        <v>228.61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2:24" x14ac:dyDescent="0.2">
      <c r="B259" s="145" t="s">
        <v>674</v>
      </c>
      <c r="C259" s="145">
        <v>231.31</v>
      </c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2:24" x14ac:dyDescent="0.2">
      <c r="B260" s="145" t="s">
        <v>675</v>
      </c>
      <c r="C260" s="145">
        <v>234.72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2:24" x14ac:dyDescent="0.2">
      <c r="B261" s="145" t="s">
        <v>676</v>
      </c>
      <c r="C261" s="145">
        <v>222.28</v>
      </c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2:24" x14ac:dyDescent="0.2">
      <c r="B262" s="145" t="s">
        <v>677</v>
      </c>
      <c r="C262" s="145">
        <v>225.94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2:24" x14ac:dyDescent="0.2">
      <c r="B263" s="145" t="s">
        <v>678</v>
      </c>
      <c r="C263" s="145">
        <v>223.34</v>
      </c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2:24" x14ac:dyDescent="0.2">
      <c r="B264" s="145" t="s">
        <v>679</v>
      </c>
      <c r="C264" s="145">
        <v>215.08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2:24" x14ac:dyDescent="0.2">
      <c r="B265" s="145" t="s">
        <v>680</v>
      </c>
      <c r="C265" s="145">
        <v>213.95</v>
      </c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2:24" x14ac:dyDescent="0.2">
      <c r="B266" s="145" t="s">
        <v>681</v>
      </c>
      <c r="C266" s="145">
        <v>213.43</v>
      </c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2:24" x14ac:dyDescent="0.2">
      <c r="B267" s="145" t="s">
        <v>682</v>
      </c>
      <c r="C267" s="145">
        <v>211.56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2:24" x14ac:dyDescent="0.2">
      <c r="B268" s="145" t="s">
        <v>683</v>
      </c>
      <c r="C268" s="145">
        <v>211.01</v>
      </c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2:24" x14ac:dyDescent="0.2">
      <c r="B269" s="145" t="s">
        <v>684</v>
      </c>
      <c r="C269" s="145">
        <v>204.66</v>
      </c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2:24" x14ac:dyDescent="0.2">
      <c r="B270" s="145" t="s">
        <v>685</v>
      </c>
      <c r="C270" s="145">
        <v>197.59</v>
      </c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2:24" x14ac:dyDescent="0.2">
      <c r="B271" s="145" t="s">
        <v>686</v>
      </c>
      <c r="C271" s="145">
        <v>191.37</v>
      </c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Revenue Build</vt:lpstr>
      <vt:lpstr>Revenue Build Toggles</vt:lpstr>
      <vt:lpstr>Income Statement</vt:lpstr>
      <vt:lpstr>Balance Sheet</vt:lpstr>
      <vt:lpstr>Cash Flow Statement</vt:lpstr>
      <vt:lpstr>DCF</vt:lpstr>
      <vt:lpstr>DCF Assumptions</vt:lpstr>
      <vt:lpstr>Public Comps</vt:lpstr>
      <vt:lpstr>Graphs for the Deck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Sunskriti Jain</dc:creator>
  <cp:keywords/>
  <dc:description/>
  <cp:lastModifiedBy>Sunskriti Jain</cp:lastModifiedBy>
  <cp:revision/>
  <dcterms:created xsi:type="dcterms:W3CDTF">2026-04-17T23:10:21Z</dcterms:created>
  <dcterms:modified xsi:type="dcterms:W3CDTF">2026-07-16T11:17:09Z</dcterms:modified>
  <cp:category/>
  <cp:contentStatus/>
</cp:coreProperties>
</file>